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rejny\Štefek\02.061 Jez Brantice, OHO - DPS+soupis\Příloha č. 2 - Soupis stavebních prací, dodávek a služeb s výkazem výměr\III_2_Vykaz_vymer\"/>
    </mc:Choice>
  </mc:AlternateContent>
  <bookViews>
    <workbookView xWindow="-120" yWindow="-120" windowWidth="29040" windowHeight="18240"/>
  </bookViews>
  <sheets>
    <sheet name="SO_03_2_Odpad_Rekapitulace" sheetId="7" r:id="rId1"/>
    <sheet name="SO_03_KL_4" sheetId="5" r:id="rId2"/>
    <sheet name="SO_03_KL_5" sheetId="10" r:id="rId3"/>
    <sheet name="SO_03_KL_5b" sheetId="16" r:id="rId4"/>
    <sheet name="SO_03_KL_6" sheetId="11" r:id="rId5"/>
    <sheet name="SO_03_KL_7" sheetId="12" r:id="rId6"/>
    <sheet name="SO_03_KL_8" sheetId="14" r:id="rId7"/>
  </sheets>
  <definedNames>
    <definedName name="_xlnm.Print_Titles" localSheetId="0">SO_03_2_Odpad_Rekapitulace!$12:$12</definedName>
    <definedName name="_xlnm.Print_Titles" localSheetId="3">SO_03_KL_5b!$4:$17</definedName>
    <definedName name="_xlnm.Print_Area" localSheetId="0">SO_03_2_Odpad_Rekapitulace!$B$1:$E$316</definedName>
    <definedName name="_xlnm.Print_Area" localSheetId="1">SO_03_KL_4!$B$2:$M$40</definedName>
    <definedName name="_xlnm.Print_Area" localSheetId="2">SO_03_KL_5!$B$2:$I$43</definedName>
    <definedName name="_xlnm.Print_Area" localSheetId="3">SO_03_KL_5b!$B$3:$J$59</definedName>
    <definedName name="_xlnm.Print_Area" localSheetId="4">SO_03_KL_6!$B$2:$M$43</definedName>
    <definedName name="_xlnm.Print_Area" localSheetId="5">SO_03_KL_7!$B$2:$M$42</definedName>
    <definedName name="_xlnm.Print_Area" localSheetId="6">SO_03_KL_8!$B$2:$K$142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1" i="7" l="1"/>
  <c r="E244" i="7" l="1"/>
  <c r="J57" i="14" l="1"/>
  <c r="E183" i="7" l="1"/>
  <c r="E293" i="7" l="1"/>
  <c r="E304" i="7" l="1"/>
  <c r="E286" i="7"/>
  <c r="E217" i="7"/>
  <c r="I55" i="16" l="1"/>
  <c r="I53" i="16"/>
  <c r="I51" i="16"/>
  <c r="I49" i="16"/>
  <c r="I47" i="16"/>
  <c r="I45" i="16"/>
  <c r="I43" i="16"/>
  <c r="I41" i="16"/>
  <c r="I39" i="16"/>
  <c r="I37" i="16"/>
  <c r="I35" i="16"/>
  <c r="I33" i="16"/>
  <c r="I31" i="16"/>
  <c r="I29" i="16"/>
  <c r="I27" i="16"/>
  <c r="I25" i="16"/>
  <c r="I23" i="16"/>
  <c r="I21" i="16"/>
  <c r="I19" i="16"/>
  <c r="E172" i="7" l="1"/>
  <c r="E176" i="7" s="1"/>
  <c r="E167" i="7"/>
  <c r="E269" i="7" l="1"/>
  <c r="E233" i="7"/>
  <c r="E202" i="7"/>
  <c r="E230" i="7"/>
  <c r="E224" i="7"/>
  <c r="E29" i="12"/>
  <c r="E27" i="12"/>
  <c r="J52" i="14"/>
  <c r="J50" i="14"/>
  <c r="J51" i="14"/>
  <c r="J49" i="14"/>
  <c r="E189" i="7"/>
  <c r="E163" i="7" s="1"/>
  <c r="E153" i="7"/>
  <c r="E125" i="7"/>
  <c r="E32" i="7"/>
  <c r="G45" i="16" l="1"/>
  <c r="D19" i="16"/>
  <c r="J19" i="16" s="1"/>
  <c r="D21" i="16"/>
  <c r="J21" i="16" s="1"/>
  <c r="D23" i="16"/>
  <c r="J23" i="16" s="1"/>
  <c r="D25" i="16"/>
  <c r="J25" i="16" s="1"/>
  <c r="D27" i="16"/>
  <c r="J27" i="16" s="1"/>
  <c r="D29" i="16"/>
  <c r="J29" i="16" s="1"/>
  <c r="D31" i="16"/>
  <c r="J31" i="16" s="1"/>
  <c r="D33" i="16"/>
  <c r="J33" i="16" s="1"/>
  <c r="D35" i="16"/>
  <c r="J35" i="16" s="1"/>
  <c r="D37" i="16"/>
  <c r="J37" i="16" s="1"/>
  <c r="D39" i="16"/>
  <c r="J39" i="16" s="1"/>
  <c r="D41" i="16"/>
  <c r="J41" i="16" s="1"/>
  <c r="D43" i="16"/>
  <c r="J43" i="16" s="1"/>
  <c r="D45" i="16"/>
  <c r="J45" i="16" s="1"/>
  <c r="D47" i="16"/>
  <c r="J47" i="16" s="1"/>
  <c r="D49" i="16"/>
  <c r="J49" i="16" s="1"/>
  <c r="D51" i="16"/>
  <c r="J51" i="16" s="1"/>
  <c r="D55" i="16"/>
  <c r="J55" i="16" s="1"/>
  <c r="D53" i="16"/>
  <c r="J53" i="16" s="1"/>
  <c r="F55" i="16"/>
  <c r="F53" i="16"/>
  <c r="F51" i="16"/>
  <c r="F49" i="16"/>
  <c r="G49" i="16" s="1"/>
  <c r="F47" i="16"/>
  <c r="G47" i="16" s="1"/>
  <c r="F45" i="16"/>
  <c r="F43" i="16"/>
  <c r="F41" i="16"/>
  <c r="F39" i="16"/>
  <c r="G39" i="16" s="1"/>
  <c r="F37" i="16"/>
  <c r="G37" i="16" s="1"/>
  <c r="F35" i="16"/>
  <c r="F33" i="16"/>
  <c r="F31" i="16"/>
  <c r="F29" i="16"/>
  <c r="F27" i="16"/>
  <c r="F25" i="16"/>
  <c r="G25" i="16" s="1"/>
  <c r="F23" i="16"/>
  <c r="F21" i="16"/>
  <c r="G21" i="16" s="1"/>
  <c r="F19" i="16"/>
  <c r="G19" i="16" s="1"/>
  <c r="G43" i="16" l="1"/>
  <c r="G23" i="16"/>
  <c r="G29" i="16"/>
  <c r="J57" i="16"/>
  <c r="E78" i="7" s="1"/>
  <c r="G31" i="16"/>
  <c r="G55" i="16"/>
  <c r="G41" i="16"/>
  <c r="G57" i="16" s="1"/>
  <c r="E74" i="7" s="1"/>
  <c r="G27" i="16"/>
  <c r="G33" i="16"/>
  <c r="G53" i="16"/>
  <c r="G35" i="16"/>
  <c r="G51" i="16"/>
  <c r="D141" i="14"/>
  <c r="D134" i="14"/>
  <c r="D133" i="14" l="1"/>
  <c r="D136" i="14" s="1"/>
  <c r="D128" i="14" l="1"/>
  <c r="D127" i="14"/>
  <c r="D126" i="14"/>
  <c r="D125" i="14"/>
  <c r="D124" i="14"/>
  <c r="I120" i="14"/>
  <c r="I119" i="14"/>
  <c r="I118" i="14"/>
  <c r="I117" i="14"/>
  <c r="I116" i="14"/>
  <c r="D110" i="14"/>
  <c r="D109" i="14"/>
  <c r="D108" i="14"/>
  <c r="D107" i="14"/>
  <c r="D106" i="14"/>
  <c r="I121" i="14" l="1"/>
  <c r="D112" i="14"/>
  <c r="D129" i="14"/>
  <c r="C85" i="14"/>
  <c r="J99" i="14"/>
  <c r="J98" i="14"/>
  <c r="J97" i="14"/>
  <c r="J96" i="14"/>
  <c r="J95" i="14"/>
  <c r="J94" i="14"/>
  <c r="J93" i="14"/>
  <c r="J102" i="14" l="1"/>
  <c r="J81" i="14"/>
  <c r="G80" i="14"/>
  <c r="J80" i="14" s="1"/>
  <c r="G79" i="14"/>
  <c r="J79" i="14" s="1"/>
  <c r="J78" i="14"/>
  <c r="J74" i="14"/>
  <c r="G73" i="14"/>
  <c r="J73" i="14" s="1"/>
  <c r="G72" i="14"/>
  <c r="J72" i="14" s="1"/>
  <c r="G71" i="14"/>
  <c r="J71" i="14" s="1"/>
  <c r="J70" i="14"/>
  <c r="J69" i="14"/>
  <c r="J65" i="14"/>
  <c r="J64" i="14"/>
  <c r="G63" i="14"/>
  <c r="J63" i="14" s="1"/>
  <c r="G62" i="14"/>
  <c r="J62" i="14" s="1"/>
  <c r="G61" i="14"/>
  <c r="J61" i="14" s="1"/>
  <c r="G60" i="14"/>
  <c r="J60" i="14" s="1"/>
  <c r="G59" i="14"/>
  <c r="J59" i="14" s="1"/>
  <c r="G58" i="14"/>
  <c r="J58" i="14" s="1"/>
  <c r="G57" i="14"/>
  <c r="J56" i="14"/>
  <c r="J55" i="14"/>
  <c r="J45" i="14"/>
  <c r="J44" i="14"/>
  <c r="G43" i="14"/>
  <c r="J43" i="14" s="1"/>
  <c r="G42" i="14"/>
  <c r="J42" i="14" s="1"/>
  <c r="J41" i="14"/>
  <c r="J37" i="14"/>
  <c r="J36" i="14"/>
  <c r="G35" i="14"/>
  <c r="J35" i="14" s="1"/>
  <c r="G34" i="14"/>
  <c r="J34" i="14" s="1"/>
  <c r="J33" i="14"/>
  <c r="J29" i="14"/>
  <c r="G28" i="14"/>
  <c r="J28" i="14" s="1"/>
  <c r="G27" i="14"/>
  <c r="J27" i="14" s="1"/>
  <c r="G26" i="14"/>
  <c r="J26" i="14" s="1"/>
  <c r="I23" i="14"/>
  <c r="J23" i="14" s="1"/>
  <c r="H25" i="14"/>
  <c r="G25" i="14"/>
  <c r="J25" i="14" s="1"/>
  <c r="G24" i="14"/>
  <c r="J24" i="14" s="1"/>
  <c r="I22" i="14"/>
  <c r="J22" i="14" s="1"/>
  <c r="J66" i="14" l="1"/>
  <c r="J85" i="14" s="1"/>
  <c r="E192" i="7" s="1"/>
  <c r="E195" i="7" s="1"/>
  <c r="J75" i="14"/>
  <c r="J82" i="14"/>
  <c r="J38" i="14"/>
  <c r="J46" i="14"/>
  <c r="J30" i="14"/>
  <c r="J18" i="14"/>
  <c r="J17" i="14"/>
  <c r="J16" i="14"/>
  <c r="G15" i="14"/>
  <c r="J15" i="14" s="1"/>
  <c r="J14" i="14"/>
  <c r="J19" i="14" l="1"/>
  <c r="E150" i="7"/>
  <c r="E147" i="7"/>
  <c r="E143" i="7"/>
  <c r="E57" i="7" l="1"/>
  <c r="E122" i="7" l="1"/>
  <c r="E130" i="7" s="1"/>
  <c r="E213" i="7"/>
  <c r="E206" i="7"/>
  <c r="E204" i="7"/>
  <c r="E201" i="7"/>
  <c r="E212" i="7"/>
  <c r="E209" i="7"/>
  <c r="E208" i="7" s="1"/>
  <c r="F30" i="12"/>
  <c r="G30" i="12" s="1"/>
  <c r="F26" i="12"/>
  <c r="G26" i="12" s="1"/>
  <c r="K23" i="12"/>
  <c r="E25" i="12"/>
  <c r="E23" i="12"/>
  <c r="E21" i="12"/>
  <c r="F22" i="12" s="1"/>
  <c r="G22" i="12" s="1"/>
  <c r="K21" i="12"/>
  <c r="E19" i="12"/>
  <c r="K15" i="12"/>
  <c r="K17" i="12" s="1"/>
  <c r="K19" i="12"/>
  <c r="E17" i="12"/>
  <c r="E15" i="12"/>
  <c r="K38" i="12"/>
  <c r="M36" i="12"/>
  <c r="L36" i="12"/>
  <c r="K36" i="12"/>
  <c r="I36" i="12"/>
  <c r="F36" i="12"/>
  <c r="G36" i="12" s="1"/>
  <c r="D36" i="12"/>
  <c r="J36" i="12" s="1"/>
  <c r="M34" i="12"/>
  <c r="L34" i="12"/>
  <c r="K34" i="12"/>
  <c r="I34" i="12"/>
  <c r="F34" i="12"/>
  <c r="G34" i="12" s="1"/>
  <c r="D34" i="12"/>
  <c r="J34" i="12" s="1"/>
  <c r="M32" i="12"/>
  <c r="L32" i="12"/>
  <c r="I32" i="12"/>
  <c r="F32" i="12"/>
  <c r="G32" i="12" s="1"/>
  <c r="D32" i="12"/>
  <c r="J32" i="12" s="1"/>
  <c r="L30" i="12"/>
  <c r="M30" i="12" s="1"/>
  <c r="K30" i="12"/>
  <c r="I30" i="12"/>
  <c r="D30" i="12"/>
  <c r="L28" i="12"/>
  <c r="M28" i="12" s="1"/>
  <c r="K28" i="12"/>
  <c r="I28" i="12"/>
  <c r="D28" i="12"/>
  <c r="J28" i="12" s="1"/>
  <c r="L26" i="12"/>
  <c r="M26" i="12" s="1"/>
  <c r="K26" i="12"/>
  <c r="I26" i="12"/>
  <c r="D26" i="12"/>
  <c r="L24" i="12"/>
  <c r="M24" i="12" s="1"/>
  <c r="K24" i="12"/>
  <c r="I24" i="12"/>
  <c r="D24" i="12"/>
  <c r="K22" i="12"/>
  <c r="I22" i="12"/>
  <c r="D22" i="12"/>
  <c r="L20" i="12"/>
  <c r="M20" i="12" s="1"/>
  <c r="K20" i="12"/>
  <c r="I20" i="12"/>
  <c r="D20" i="12"/>
  <c r="J20" i="12" s="1"/>
  <c r="K18" i="12"/>
  <c r="I18" i="12"/>
  <c r="D18" i="12"/>
  <c r="I16" i="12"/>
  <c r="D16" i="12"/>
  <c r="E251" i="7"/>
  <c r="E116" i="7"/>
  <c r="E211" i="7" l="1"/>
  <c r="F28" i="12"/>
  <c r="G28" i="12" s="1"/>
  <c r="L22" i="12"/>
  <c r="M22" i="12" s="1"/>
  <c r="F24" i="12"/>
  <c r="G24" i="12" s="1"/>
  <c r="J30" i="12"/>
  <c r="J26" i="12"/>
  <c r="J24" i="12"/>
  <c r="J22" i="12"/>
  <c r="F20" i="12"/>
  <c r="G20" i="12" s="1"/>
  <c r="F18" i="12"/>
  <c r="G18" i="12" s="1"/>
  <c r="L18" i="12"/>
  <c r="M18" i="12" s="1"/>
  <c r="F16" i="12"/>
  <c r="G16" i="12" s="1"/>
  <c r="J18" i="12"/>
  <c r="J16" i="12"/>
  <c r="L16" i="12"/>
  <c r="M16" i="12" s="1"/>
  <c r="D42" i="12"/>
  <c r="E108" i="7"/>
  <c r="E105" i="7"/>
  <c r="I36" i="11"/>
  <c r="J36" i="11" s="1"/>
  <c r="I20" i="11"/>
  <c r="I36" i="5"/>
  <c r="I20" i="5"/>
  <c r="F22" i="10"/>
  <c r="L22" i="11"/>
  <c r="K38" i="11"/>
  <c r="L36" i="11"/>
  <c r="M36" i="11" s="1"/>
  <c r="K36" i="11"/>
  <c r="F36" i="11"/>
  <c r="G36" i="11" s="1"/>
  <c r="D36" i="11"/>
  <c r="L34" i="11"/>
  <c r="M34" i="11" s="1"/>
  <c r="K34" i="11"/>
  <c r="I34" i="11"/>
  <c r="J34" i="11" s="1"/>
  <c r="F34" i="11"/>
  <c r="G34" i="11" s="1"/>
  <c r="D34" i="11"/>
  <c r="L32" i="11"/>
  <c r="I32" i="11"/>
  <c r="F32" i="11"/>
  <c r="D32" i="11"/>
  <c r="L30" i="11"/>
  <c r="M30" i="11" s="1"/>
  <c r="K30" i="11"/>
  <c r="I30" i="11"/>
  <c r="F30" i="11"/>
  <c r="D30" i="11"/>
  <c r="G30" i="11" s="1"/>
  <c r="L28" i="11"/>
  <c r="M28" i="11" s="1"/>
  <c r="K28" i="11"/>
  <c r="I28" i="11"/>
  <c r="F28" i="11"/>
  <c r="D28" i="11"/>
  <c r="L26" i="11"/>
  <c r="M26" i="11" s="1"/>
  <c r="K26" i="11"/>
  <c r="I26" i="11"/>
  <c r="F26" i="11"/>
  <c r="D26" i="11"/>
  <c r="L24" i="11"/>
  <c r="M24" i="11" s="1"/>
  <c r="K24" i="11"/>
  <c r="I24" i="11"/>
  <c r="F24" i="11"/>
  <c r="D24" i="11"/>
  <c r="K22" i="11"/>
  <c r="I22" i="11"/>
  <c r="F22" i="11"/>
  <c r="D22" i="11"/>
  <c r="L20" i="11"/>
  <c r="M20" i="11" s="1"/>
  <c r="K20" i="11"/>
  <c r="F20" i="11"/>
  <c r="D20" i="11"/>
  <c r="L18" i="11"/>
  <c r="M18" i="11" s="1"/>
  <c r="K18" i="11"/>
  <c r="I18" i="11"/>
  <c r="F18" i="11"/>
  <c r="D18" i="11"/>
  <c r="L16" i="11"/>
  <c r="M16" i="11" s="1"/>
  <c r="I16" i="11"/>
  <c r="F16" i="11"/>
  <c r="D16" i="11"/>
  <c r="E100" i="7"/>
  <c r="E99" i="7"/>
  <c r="E96" i="7"/>
  <c r="E95" i="7"/>
  <c r="E91" i="7"/>
  <c r="E94" i="7" l="1"/>
  <c r="M39" i="12"/>
  <c r="J39" i="12"/>
  <c r="G39" i="12"/>
  <c r="E199" i="7" s="1"/>
  <c r="E198" i="7" s="1"/>
  <c r="E98" i="7"/>
  <c r="M32" i="11"/>
  <c r="M39" i="11" s="1"/>
  <c r="G28" i="11"/>
  <c r="J26" i="11"/>
  <c r="J24" i="11"/>
  <c r="J20" i="11"/>
  <c r="M22" i="11"/>
  <c r="J18" i="11"/>
  <c r="J16" i="11"/>
  <c r="G32" i="11"/>
  <c r="G26" i="11"/>
  <c r="G24" i="11"/>
  <c r="D42" i="11"/>
  <c r="G22" i="11"/>
  <c r="G18" i="11"/>
  <c r="G20" i="11"/>
  <c r="J28" i="11"/>
  <c r="J30" i="11"/>
  <c r="J32" i="11"/>
  <c r="G16" i="11"/>
  <c r="J22" i="11"/>
  <c r="J39" i="11" l="1"/>
  <c r="G39" i="11"/>
  <c r="E102" i="7" s="1"/>
  <c r="E111" i="7" l="1"/>
  <c r="E50" i="7"/>
  <c r="E37" i="7" l="1"/>
  <c r="E44" i="7"/>
  <c r="E47" i="7"/>
  <c r="E26" i="7"/>
  <c r="E15" i="7"/>
  <c r="E17" i="7"/>
  <c r="E19" i="7"/>
  <c r="E38" i="10" l="1"/>
  <c r="F36" i="10"/>
  <c r="E36" i="10"/>
  <c r="D36" i="10"/>
  <c r="F34" i="10"/>
  <c r="G34" i="10" s="1"/>
  <c r="E34" i="10"/>
  <c r="D34" i="10"/>
  <c r="F32" i="10"/>
  <c r="G32" i="10" s="1"/>
  <c r="D32" i="10"/>
  <c r="F30" i="10"/>
  <c r="E30" i="10"/>
  <c r="D30" i="10"/>
  <c r="F28" i="10"/>
  <c r="G28" i="10" s="1"/>
  <c r="E28" i="10"/>
  <c r="D28" i="10"/>
  <c r="F26" i="10"/>
  <c r="G26" i="10" s="1"/>
  <c r="E26" i="10"/>
  <c r="D26" i="10"/>
  <c r="F24" i="10"/>
  <c r="E24" i="10"/>
  <c r="D24" i="10"/>
  <c r="E22" i="10"/>
  <c r="D22" i="10"/>
  <c r="G22" i="10" s="1"/>
  <c r="F20" i="10"/>
  <c r="E20" i="10"/>
  <c r="D20" i="10"/>
  <c r="F18" i="10"/>
  <c r="E18" i="10"/>
  <c r="D18" i="10"/>
  <c r="F16" i="10"/>
  <c r="D16" i="10"/>
  <c r="E84" i="7"/>
  <c r="E71" i="7"/>
  <c r="D42" i="5"/>
  <c r="L30" i="5"/>
  <c r="I30" i="5"/>
  <c r="F30" i="5"/>
  <c r="D30" i="5"/>
  <c r="K38" i="5"/>
  <c r="L36" i="5"/>
  <c r="K36" i="5"/>
  <c r="F36" i="5"/>
  <c r="D36" i="5"/>
  <c r="J36" i="5" s="1"/>
  <c r="L34" i="5"/>
  <c r="K34" i="5"/>
  <c r="I34" i="5"/>
  <c r="F34" i="5"/>
  <c r="D34" i="5"/>
  <c r="L32" i="5"/>
  <c r="I32" i="5"/>
  <c r="F32" i="5"/>
  <c r="D32" i="5"/>
  <c r="G32" i="5" s="1"/>
  <c r="K30" i="5"/>
  <c r="L28" i="5"/>
  <c r="K28" i="5"/>
  <c r="I28" i="5"/>
  <c r="F28" i="5"/>
  <c r="D28" i="5"/>
  <c r="L26" i="5"/>
  <c r="K26" i="5"/>
  <c r="I26" i="5"/>
  <c r="F26" i="5"/>
  <c r="D26" i="5"/>
  <c r="L24" i="5"/>
  <c r="K24" i="5"/>
  <c r="I24" i="5"/>
  <c r="F24" i="5"/>
  <c r="D24" i="5"/>
  <c r="L22" i="5"/>
  <c r="K22" i="5"/>
  <c r="I22" i="5"/>
  <c r="F22" i="5"/>
  <c r="D22" i="5"/>
  <c r="L20" i="5"/>
  <c r="K20" i="5"/>
  <c r="F20" i="5"/>
  <c r="D20" i="5"/>
  <c r="J20" i="5" s="1"/>
  <c r="L18" i="5"/>
  <c r="K18" i="5"/>
  <c r="I18" i="5"/>
  <c r="F18" i="5"/>
  <c r="D18" i="5"/>
  <c r="L16" i="5"/>
  <c r="I16" i="5"/>
  <c r="F16" i="5"/>
  <c r="D16" i="5"/>
  <c r="G16" i="10" l="1"/>
  <c r="G18" i="10"/>
  <c r="G24" i="10"/>
  <c r="G30" i="10"/>
  <c r="G36" i="10"/>
  <c r="G20" i="10"/>
  <c r="G39" i="10"/>
  <c r="E23" i="7" s="1"/>
  <c r="D42" i="10"/>
  <c r="G18" i="5"/>
  <c r="G16" i="5"/>
  <c r="J22" i="5"/>
  <c r="M32" i="5"/>
  <c r="J32" i="5"/>
  <c r="J18" i="5"/>
  <c r="M24" i="5"/>
  <c r="J34" i="5"/>
  <c r="J26" i="5"/>
  <c r="M18" i="5"/>
  <c r="M28" i="5"/>
  <c r="J30" i="5"/>
  <c r="M22" i="5"/>
  <c r="G30" i="5"/>
  <c r="G20" i="5"/>
  <c r="J24" i="5"/>
  <c r="M26" i="5"/>
  <c r="J16" i="5"/>
  <c r="M16" i="5"/>
  <c r="M36" i="5"/>
  <c r="M20" i="5"/>
  <c r="J28" i="5"/>
  <c r="M34" i="5"/>
  <c r="M30" i="5"/>
  <c r="G22" i="5"/>
  <c r="G24" i="5"/>
  <c r="G26" i="5"/>
  <c r="G28" i="5"/>
  <c r="G34" i="5"/>
  <c r="G36" i="5"/>
  <c r="E114" i="7" l="1"/>
  <c r="J39" i="5" l="1"/>
  <c r="E81" i="7" s="1"/>
  <c r="E87" i="7" l="1"/>
  <c r="G39" i="5"/>
  <c r="M39" i="5"/>
</calcChain>
</file>

<file path=xl/sharedStrings.xml><?xml version="1.0" encoding="utf-8"?>
<sst xmlns="http://schemas.openxmlformats.org/spreadsheetml/2006/main" count="784" uniqueCount="462">
  <si>
    <t>Rekapitulace</t>
  </si>
  <si>
    <t>Objednavatel : Povodí Odry, s.p.</t>
  </si>
  <si>
    <t>Zhotovitel : AQUATIS a.s.</t>
  </si>
  <si>
    <t>Položka</t>
  </si>
  <si>
    <t>Popis položky</t>
  </si>
  <si>
    <t>Jednotka</t>
  </si>
  <si>
    <t>Zemní práce</t>
  </si>
  <si>
    <t>Ohumusování v rovině a ve svahu do 1:5, tl. 0,15 m a osetí</t>
  </si>
  <si>
    <t>Svahování násypů</t>
  </si>
  <si>
    <t>Nové konstrukce</t>
  </si>
  <si>
    <t>Bednění - rovinné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</si>
  <si>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</si>
  <si>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</si>
  <si>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 xml:space="preserve">Bednění - negativní </t>
  </si>
  <si>
    <t>m</t>
  </si>
  <si>
    <t>PF2</t>
  </si>
  <si>
    <t>PF3</t>
  </si>
  <si>
    <t>PF4</t>
  </si>
  <si>
    <t>PF5</t>
  </si>
  <si>
    <t>PF7</t>
  </si>
  <si>
    <t>PF8</t>
  </si>
  <si>
    <t>PF9</t>
  </si>
  <si>
    <t>km</t>
  </si>
  <si>
    <t>Výkopy</t>
  </si>
  <si>
    <t>Úprava pláně v násypu</t>
  </si>
  <si>
    <t>Ozn.</t>
  </si>
  <si>
    <t>Staničení</t>
  </si>
  <si>
    <t>výpočet viz výkaz výměr - kubaturové listy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</si>
  <si>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</si>
  <si>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Vzdálenost profilů / řezů</t>
  </si>
  <si>
    <t>Napojení na původní koryto - stupeň v km 0,027 66</t>
  </si>
  <si>
    <t>Příčný profil / řez</t>
  </si>
  <si>
    <t>JEDNOTL.</t>
  </si>
  <si>
    <t>PRŮMĚR</t>
  </si>
  <si>
    <t>MNOŽSTVÍ</t>
  </si>
  <si>
    <r>
      <t>m</t>
    </r>
    <r>
      <rPr>
        <b/>
        <vertAlign val="superscript"/>
        <sz val="8"/>
        <color theme="1"/>
        <rFont val="Arial"/>
        <family val="2"/>
        <charset val="238"/>
      </rPr>
      <t>2</t>
    </r>
  </si>
  <si>
    <r>
      <t>m</t>
    </r>
    <r>
      <rPr>
        <b/>
        <vertAlign val="superscript"/>
        <sz val="8"/>
        <color theme="1"/>
        <rFont val="Arial"/>
        <family val="2"/>
        <charset val="238"/>
      </rPr>
      <t>3</t>
    </r>
  </si>
  <si>
    <t>Ohumusování svah</t>
  </si>
  <si>
    <t>Množství DPS</t>
  </si>
  <si>
    <t>SO 03 Rekonstrukce náhonu a odpadního koryta</t>
  </si>
  <si>
    <t xml:space="preserve">Výkaz výměr - 02.060 Opatření v úseku Brantice, OHO, </t>
  </si>
  <si>
    <t>dílčí stavba 02.061 Jez Brantice, stavba č. 5882.</t>
  </si>
  <si>
    <t>2.1</t>
  </si>
  <si>
    <t>2.2</t>
  </si>
  <si>
    <t>1.1</t>
  </si>
  <si>
    <t>1.2</t>
  </si>
  <si>
    <t>1.3</t>
  </si>
  <si>
    <t>1.4</t>
  </si>
  <si>
    <t>1.6</t>
  </si>
  <si>
    <t>1.7</t>
  </si>
  <si>
    <t>1.8</t>
  </si>
  <si>
    <t>1.9</t>
  </si>
  <si>
    <t>1.10</t>
  </si>
  <si>
    <t>1.11</t>
  </si>
  <si>
    <t>kg</t>
  </si>
  <si>
    <t>1.5</t>
  </si>
  <si>
    <t>1.12</t>
  </si>
  <si>
    <t>1.13</t>
  </si>
  <si>
    <t>1.14</t>
  </si>
  <si>
    <t>kplt</t>
  </si>
  <si>
    <t>1.15</t>
  </si>
  <si>
    <t>m3</t>
  </si>
  <si>
    <t>2.3</t>
  </si>
  <si>
    <t>m2</t>
  </si>
  <si>
    <t>ks</t>
  </si>
  <si>
    <t>líc MVE</t>
  </si>
  <si>
    <t xml:space="preserve">Hutněný zásyp z materiálu výkopu </t>
  </si>
  <si>
    <t>2.4</t>
  </si>
  <si>
    <t>2.5</t>
  </si>
  <si>
    <t>2.6</t>
  </si>
  <si>
    <t>3.1</t>
  </si>
  <si>
    <t>Podkladní beton C25/30 XC2, tl. 0,15 m</t>
  </si>
  <si>
    <t>3.2</t>
  </si>
  <si>
    <t>Železobeton C30/37, XF3</t>
  </si>
  <si>
    <t>Lešení</t>
  </si>
  <si>
    <t>2.7</t>
  </si>
  <si>
    <t>PF6</t>
  </si>
  <si>
    <t>ZAČ.MOST</t>
  </si>
  <si>
    <t>KON.MOST</t>
  </si>
  <si>
    <t>SOU                         TOK</t>
  </si>
  <si>
    <t>3.2 Odpadní koryto</t>
  </si>
  <si>
    <t>skrývky</t>
  </si>
  <si>
    <t xml:space="preserve">ohumusování v rovině </t>
  </si>
  <si>
    <t>Délka</t>
  </si>
  <si>
    <t>Sejmutí humozni vrstvy tl. 0,15m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</si>
  <si>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</si>
  <si>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Výkop</t>
  </si>
  <si>
    <t>Bourání kamen zdí</t>
  </si>
  <si>
    <t>Zásyp</t>
  </si>
  <si>
    <t>4.1</t>
  </si>
  <si>
    <t>4.2</t>
  </si>
  <si>
    <t>Zakládání</t>
  </si>
  <si>
    <t>5.1</t>
  </si>
  <si>
    <t>5.2</t>
  </si>
  <si>
    <t>5.3</t>
  </si>
  <si>
    <t>5.5</t>
  </si>
  <si>
    <t>5.8</t>
  </si>
  <si>
    <t>6.1</t>
  </si>
  <si>
    <t xml:space="preserve">kplt 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</si>
  <si>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</si>
  <si>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</si>
  <si>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</si>
  <si>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</si>
  <si>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</si>
  <si>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</si>
  <si>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</si>
  <si>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</si>
  <si>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</si>
  <si>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</si>
  <si>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</si>
  <si>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</si>
  <si>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</si>
  <si>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3.3</t>
  </si>
  <si>
    <t>2.8</t>
  </si>
  <si>
    <t>2.9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</si>
  <si>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</si>
  <si>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</si>
  <si>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</si>
  <si>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</si>
  <si>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</si>
  <si>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</si>
  <si>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</si>
  <si>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</si>
  <si>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</si>
  <si>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4.13</t>
  </si>
  <si>
    <t>4.14</t>
  </si>
  <si>
    <t>4.15</t>
  </si>
  <si>
    <t>3</t>
  </si>
  <si>
    <t>5</t>
  </si>
  <si>
    <t>7</t>
  </si>
  <si>
    <t>03.2</t>
  </si>
  <si>
    <t>Odpadní koryto</t>
  </si>
  <si>
    <t>Položka č. x</t>
  </si>
  <si>
    <t>Položka č. 2.4</t>
  </si>
  <si>
    <t>Položka č. 2.5</t>
  </si>
  <si>
    <t xml:space="preserve">Železobetonové konstrukce </t>
  </si>
  <si>
    <t>pravá stěna</t>
  </si>
  <si>
    <t>taras plotu</t>
  </si>
  <si>
    <t>20,5*0,5*1,1</t>
  </si>
  <si>
    <t>1,15m2 * 4,5</t>
  </si>
  <si>
    <t>0,15*1,0*15+1,32m2 * 6,5+1,5*10*0,8</t>
  </si>
  <si>
    <t xml:space="preserve">levá stěna- přibetonování za opancéřováním+blok u řezu 03/7+ sokl </t>
  </si>
  <si>
    <t>Okna a dveře přístavku, včetně dřevěných výztuh a zabezpečujících konstrukcí</t>
  </si>
  <si>
    <t>dřevěné konstrukce</t>
  </si>
  <si>
    <t xml:space="preserve">stěny a bločky vedle přístavku - odhad </t>
  </si>
  <si>
    <t>Bourání kamenných stěn koryta</t>
  </si>
  <si>
    <t>Ocelový sloup kruhový včetně kotvení</t>
  </si>
  <si>
    <t>Střešní krytina a izolace asfalt. pásy</t>
  </si>
  <si>
    <t>83,6 m2 * 0,4m</t>
  </si>
  <si>
    <t>Základová deska přístavku - betonová</t>
  </si>
  <si>
    <t>tr. 200/6 - 4,0m, 37kg/m</t>
  </si>
  <si>
    <t>Železobetonové schodiště šířky 1,2m</t>
  </si>
  <si>
    <t>10x 180/300 + podesta tl. 0,15m</t>
  </si>
  <si>
    <t>cca IPN200 - 26,2 kg/m</t>
  </si>
  <si>
    <t xml:space="preserve">12ks 7,5m + příčný nosník 10,5m </t>
  </si>
  <si>
    <t>Tubosider</t>
  </si>
  <si>
    <t>šířka 11,1m x délka oblouku 8,2m, odhad 13 kg/m2</t>
  </si>
  <si>
    <t>11,1m x 16m x0,1m</t>
  </si>
  <si>
    <t>Zazdění dveří haly</t>
  </si>
  <si>
    <t>Keramická střecha přístavku (hurdis) plochy 83,55m2</t>
  </si>
  <si>
    <t>Položka č. 2.1</t>
  </si>
  <si>
    <t>Drenážní kamenivo fr. 4-8 mm u příčné drenáže</t>
  </si>
  <si>
    <t>Filtr drenáže - kamenivo fr. 0-22 mm</t>
  </si>
  <si>
    <t>za levou stěnou 27,5 m x 0,45m2</t>
  </si>
  <si>
    <t>za pravou stěnou 55 m x 0,45 m2</t>
  </si>
  <si>
    <t>za levou stěnou 27,5 m x 0,7m2</t>
  </si>
  <si>
    <t>za pravou stěnou 55 m x 0,7 m2</t>
  </si>
  <si>
    <t>Ostatní výrobky</t>
  </si>
  <si>
    <t>Kamenný pohoz</t>
  </si>
  <si>
    <t>x</t>
  </si>
  <si>
    <t>15m x 2,0m2</t>
  </si>
  <si>
    <t>2.10</t>
  </si>
  <si>
    <t>2.11</t>
  </si>
  <si>
    <t>2.12</t>
  </si>
  <si>
    <t>2.13</t>
  </si>
  <si>
    <t>Položka č. 2.11</t>
  </si>
  <si>
    <t>Položka č. 2.10</t>
  </si>
  <si>
    <t>Položka č. 2.2</t>
  </si>
  <si>
    <t>Položka č. 2.3</t>
  </si>
  <si>
    <t>Položka č. 1.2</t>
  </si>
  <si>
    <t>2.14</t>
  </si>
  <si>
    <t>Kamenný pohoz svahu z lomového kamene s proštěrkováním a urovnáním líce, min. velikost zrna 120mm, v místě rušeného tubosideru</t>
  </si>
  <si>
    <t>bednění dilatačních spár</t>
  </si>
  <si>
    <t>Kotvení přibetonovávek</t>
  </si>
  <si>
    <t xml:space="preserve">Výztuž </t>
  </si>
  <si>
    <t>bednění závěrných stěn</t>
  </si>
  <si>
    <t>Ohumusování ve svahu do 1:2 tl. 0,15 m a osetí včetně protierozních rohoží</t>
  </si>
  <si>
    <t>Naložení a odvoz přebytků materiálu z výkopů z mezideponie na skládku ve vzdálenosti 25km včetně skládkovného</t>
  </si>
  <si>
    <t>5,3m x 29m2</t>
  </si>
  <si>
    <t>2.15</t>
  </si>
  <si>
    <t>2.16</t>
  </si>
  <si>
    <t>35m2</t>
  </si>
  <si>
    <t>Dočasná návodní jímka - hutněný násyp včetně odstranění</t>
  </si>
  <si>
    <t>5.4</t>
  </si>
  <si>
    <t>5.6</t>
  </si>
  <si>
    <t>5.7</t>
  </si>
  <si>
    <t>Bednění rovinné</t>
  </si>
  <si>
    <t>Bednění negativní</t>
  </si>
  <si>
    <t>Položka č. 4.4</t>
  </si>
  <si>
    <t>Položka č.4.5</t>
  </si>
  <si>
    <t>Položka č. 4.6</t>
  </si>
  <si>
    <t>bednění výklenků 3ks</t>
  </si>
  <si>
    <t>1.16</t>
  </si>
  <si>
    <t>PB 5*6,15+3*4,35+7*2,18</t>
  </si>
  <si>
    <t>(4,6+3,7+3,4) x 0,2 x 2</t>
  </si>
  <si>
    <t>4*2*2,5+2*0,6*2,5</t>
  </si>
  <si>
    <t>závěrné zídky 4*2*2,5</t>
  </si>
  <si>
    <t>4 stupně š. 0,9 m</t>
  </si>
  <si>
    <t>Oprava betonového schodiště - lokální sanace</t>
  </si>
  <si>
    <t>výust. kamenina 150mm + výúst kamenina 250 mm + 5x dešť. svod z haly DN110</t>
  </si>
  <si>
    <t>2.17</t>
  </si>
  <si>
    <t xml:space="preserve">5ks x 7m, profil 1,2*0,6m </t>
  </si>
  <si>
    <t>2.18</t>
  </si>
  <si>
    <t>Pískový obsyp dešťových svodů z haly</t>
  </si>
  <si>
    <t>3.4</t>
  </si>
  <si>
    <t>3.5</t>
  </si>
  <si>
    <t>3.6</t>
  </si>
  <si>
    <t>Rozepření kamenného zdiva v době osazování  štětovnic, ocelová konstrukce (příp. dřevěná) dle návrhu zhotovitele. Rozpěrná konstrukce bude průběžně posunována podle štětovnic.</t>
  </si>
  <si>
    <t>Přehutnění základové spáry před pokládkou podklad. betonů</t>
  </si>
  <si>
    <t>3.7</t>
  </si>
  <si>
    <t>Zkrácení spodních větví ponechaných stromů v okolí odpadního koryta, cca 15 ks stromů s korunou do 4m</t>
  </si>
  <si>
    <t>Bourání betonového věnce přístavby</t>
  </si>
  <si>
    <t>Smíšené zdivo přístavku haly (kámen, cihly)</t>
  </si>
  <si>
    <t>délka stěn 30m, výška věnce 0,25m, tl.0,45m</t>
  </si>
  <si>
    <t xml:space="preserve">4.12 </t>
  </si>
  <si>
    <t>PB 5*6,6+3*5,4+7*3,9</t>
  </si>
  <si>
    <t>LB 3*5,6+3*3,8</t>
  </si>
  <si>
    <t>Těsnící provazec a trvale pružný tmel do dilatačních spár š. 20 mm</t>
  </si>
  <si>
    <t>sklon 28 st, délka 8m, po2m, kořen cca 4,5m</t>
  </si>
  <si>
    <t>u bloků 25-28 17ks 17x8=136m včetně příslušenství</t>
  </si>
  <si>
    <t>sklon 28 st, délka 8m, po 2m, kořen cca 4,5m</t>
  </si>
  <si>
    <t>Převázky trvalé 2x UPN220</t>
  </si>
  <si>
    <t xml:space="preserve">31,8m x 2 </t>
  </si>
  <si>
    <t>Převázky dočasné 2x UPN 220</t>
  </si>
  <si>
    <t>(15,9+20,9)x2</t>
  </si>
  <si>
    <t>Štětovnice typ VL604 beraněné na celou výšku</t>
  </si>
  <si>
    <t xml:space="preserve">LB 21m x 6,3m </t>
  </si>
  <si>
    <t>pravá strana u bl. 31-33 7ks, levá strana u bloků 43-45 9ks tj. 7+9=16ks, 16x8=128m, včetně příslušensktí</t>
  </si>
  <si>
    <t>3.8</t>
  </si>
  <si>
    <t>3.9</t>
  </si>
  <si>
    <t>Pažení mezi štětovnicemi a kamennou stěnou v době betonáže stěny v.4m, š.1,0m</t>
  </si>
  <si>
    <t>2.19</t>
  </si>
  <si>
    <t>6.</t>
  </si>
  <si>
    <t>odstranění obkladů klinkr</t>
  </si>
  <si>
    <t>odstranění  poškozené omítky</t>
  </si>
  <si>
    <t>demontáž dešťových svodů a opětovná montáž</t>
  </si>
  <si>
    <t>výztužné pletivo přes hydroizolaci</t>
  </si>
  <si>
    <t>asfaltová penetrační emulze</t>
  </si>
  <si>
    <t>zásyp jemnozrnnou zeminou z výkopu, hutněný po vrstvách 150 mm</t>
  </si>
  <si>
    <t>separační geotextilie 300g/m2</t>
  </si>
  <si>
    <t>nopová fólie</t>
  </si>
  <si>
    <t>Polystyrén do dilatačních spár tl. 20 mm</t>
  </si>
  <si>
    <t>Datum : Červen 2022</t>
  </si>
  <si>
    <t>tl.</t>
  </si>
  <si>
    <t>objem</t>
  </si>
  <si>
    <t>pata</t>
  </si>
  <si>
    <t>horní část stěny</t>
  </si>
  <si>
    <t>římsa</t>
  </si>
  <si>
    <t>celkem bloky 25 až 29</t>
  </si>
  <si>
    <t>výška na začátku</t>
  </si>
  <si>
    <t>výška na konci</t>
  </si>
  <si>
    <t>průměr. výška</t>
  </si>
  <si>
    <t>délka bloků celkem</t>
  </si>
  <si>
    <t>délka bloku</t>
  </si>
  <si>
    <t>spodní část stěny bl.25</t>
  </si>
  <si>
    <t>spodní část stěny bl.26-29</t>
  </si>
  <si>
    <t>bloky 25,26,27,28,29 (v.č.03_4_8)</t>
  </si>
  <si>
    <t>bloky 30,31,32,33 (v.č.03_4_9)</t>
  </si>
  <si>
    <t xml:space="preserve">plocha </t>
  </si>
  <si>
    <t>pata bl. 31, 32, 33</t>
  </si>
  <si>
    <t>pata bl. 30</t>
  </si>
  <si>
    <t>spodní část stěny bl. 31, 32</t>
  </si>
  <si>
    <t>spodní část stěny bl. 33</t>
  </si>
  <si>
    <t>spodní část stěny bl. 30</t>
  </si>
  <si>
    <t>horní část stěny bl. 31, 32, 33</t>
  </si>
  <si>
    <t>horní část stěny bl. 30</t>
  </si>
  <si>
    <t>celkem bloky 30 až 33</t>
  </si>
  <si>
    <t>bloky 34,35,36,37,38 (v.č.03_4_10)</t>
  </si>
  <si>
    <t>stěna</t>
  </si>
  <si>
    <t>stěna (odpočet výřezu bl. 34)</t>
  </si>
  <si>
    <t>římsa (odpočet výřezu bl. 34)</t>
  </si>
  <si>
    <t>celkem bloky 34 až 38</t>
  </si>
  <si>
    <t>blok 39 (v.č. 03_4_11)</t>
  </si>
  <si>
    <t>stěna (boční)</t>
  </si>
  <si>
    <t>římsa (boční)</t>
  </si>
  <si>
    <t>celkem blok 39</t>
  </si>
  <si>
    <t>bloky 43,44,45 (v.č.03_4_13)</t>
  </si>
  <si>
    <t>pata bl. 43</t>
  </si>
  <si>
    <t>pata bl. 44 a 45</t>
  </si>
  <si>
    <t>spodní část stěny bl. 43 - pravidelný tvar</t>
  </si>
  <si>
    <t>spodní část stěny bl. 43 - nepravidelný tvar</t>
  </si>
  <si>
    <t>spodní část stěny bl. 44 a 45</t>
  </si>
  <si>
    <t>spodní část stěny bl. 44 (odpočet výřezu)</t>
  </si>
  <si>
    <t>horní část stěny bl. 44 a 45</t>
  </si>
  <si>
    <t>horní část stěny bl. 44 (odpočet výřezu)</t>
  </si>
  <si>
    <t>horní část stěny bl. 43</t>
  </si>
  <si>
    <t>římsa bl. 43,44,45</t>
  </si>
  <si>
    <t>římsa (odpočet výřezu bl. 44)</t>
  </si>
  <si>
    <t>bloky 46,47 (v.č.03_4_14)</t>
  </si>
  <si>
    <t>celkem bloky 43 až 45</t>
  </si>
  <si>
    <t>pata bl. 46</t>
  </si>
  <si>
    <t>pata bl. 47</t>
  </si>
  <si>
    <t>spodní část stěny bl. 46</t>
  </si>
  <si>
    <t>horní část stěny bl. 46</t>
  </si>
  <si>
    <t>stěna bl. 47</t>
  </si>
  <si>
    <t>celkem bloky 46 a 47</t>
  </si>
  <si>
    <t>blok 48 (v.č.03_4_14)</t>
  </si>
  <si>
    <t>stěna boční</t>
  </si>
  <si>
    <t>celkem blok 48</t>
  </si>
  <si>
    <t>3.2 železobeton celkem</t>
  </si>
  <si>
    <t>3.2 podkladní beton celkem</t>
  </si>
  <si>
    <r>
      <t>Podkladní beton (m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  <r>
      <rPr>
        <b/>
        <sz val="12"/>
        <color theme="1"/>
        <rFont val="Calibri"/>
        <family val="2"/>
        <charset val="238"/>
        <scheme val="minor"/>
      </rPr>
      <t>)</t>
    </r>
  </si>
  <si>
    <r>
      <t>Železobeton (m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  <r>
      <rPr>
        <b/>
        <sz val="12"/>
        <color theme="1"/>
        <rFont val="Calibri"/>
        <family val="2"/>
        <charset val="238"/>
        <scheme val="minor"/>
      </rPr>
      <t>)</t>
    </r>
  </si>
  <si>
    <t>15 ks</t>
  </si>
  <si>
    <t>12 ks</t>
  </si>
  <si>
    <t>10 ks</t>
  </si>
  <si>
    <t>6 ks</t>
  </si>
  <si>
    <t>3 ks</t>
  </si>
  <si>
    <r>
      <t>Polystyren do dilatací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</si>
  <si>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Polystyren do dilatací - celkem</t>
  </si>
  <si>
    <t>1/P - dilatační pás (m)</t>
  </si>
  <si>
    <t>1/P - dilatační pás - celkem</t>
  </si>
  <si>
    <t>2/P - KAB do pracovních spár (m)</t>
  </si>
  <si>
    <t>2/P - KAB do pracovních spár - celkem</t>
  </si>
  <si>
    <t>3/P - pás do pracovních spár (m)</t>
  </si>
  <si>
    <t>3/P - pás do pracovních spár - celkem</t>
  </si>
  <si>
    <t>6/P příčná drenáž - celkem</t>
  </si>
  <si>
    <t>6/P příčná drenáž (m)</t>
  </si>
  <si>
    <t>PF1</t>
  </si>
  <si>
    <t>Jednotl.</t>
  </si>
  <si>
    <t>Průměr</t>
  </si>
  <si>
    <t>Množství</t>
  </si>
  <si>
    <r>
      <t>m</t>
    </r>
    <r>
      <rPr>
        <vertAlign val="superscript"/>
        <sz val="9"/>
        <rFont val="Arial CE"/>
        <charset val="238"/>
      </rPr>
      <t>2</t>
    </r>
  </si>
  <si>
    <r>
      <t>m</t>
    </r>
    <r>
      <rPr>
        <vertAlign val="superscript"/>
        <sz val="9"/>
        <rFont val="Arial CE"/>
        <family val="2"/>
        <charset val="238"/>
      </rPr>
      <t>3</t>
    </r>
  </si>
  <si>
    <t>KON. 
MOSTU</t>
  </si>
  <si>
    <t>ZAČ.
MOSTU</t>
  </si>
  <si>
    <t>PF5a</t>
  </si>
  <si>
    <t>PF5b</t>
  </si>
  <si>
    <t>PF5c</t>
  </si>
  <si>
    <t>PF6a</t>
  </si>
  <si>
    <t>PF6b</t>
  </si>
  <si>
    <t>MVE</t>
  </si>
  <si>
    <t>SOU
TOK</t>
  </si>
  <si>
    <t>0,23*83,6</t>
  </si>
  <si>
    <t xml:space="preserve">Odstranění osvětlení přístavku včetně elektroinstalací, jejich odpojení, včetně likvidace dle platné legislativy </t>
  </si>
  <si>
    <t xml:space="preserve">Odstranění stávajícího ocelového zábradlí, podesty a žebříku a dalších ocelových zařízení na levém břehu pod MVE, včetně likvidace dle platné legislativy </t>
  </si>
  <si>
    <t>Základy sloupků za halou v místě dočasného sjezdu do koryta - beton, odhad</t>
  </si>
  <si>
    <r>
      <t xml:space="preserve">Bourací práce </t>
    </r>
    <r>
      <rPr>
        <sz val="12"/>
        <rFont val="Calibri"/>
        <family val="2"/>
        <charset val="238"/>
        <scheme val="minor"/>
      </rPr>
      <t>(u všech položek započítat likvidaci dle platné legislativy)</t>
    </r>
  </si>
  <si>
    <t>Výkop tř.3  nad 1 m a odvoz na MD na vzdálenost do 1,0 km,</t>
  </si>
  <si>
    <t>Kamenný pohoz dna v tl. cca 0,2m kamenivo-písčitým materiálem z výkopů ve dně koryta</t>
  </si>
  <si>
    <t>5 x 7 x 0,4 x0,6</t>
  </si>
  <si>
    <t>2.20</t>
  </si>
  <si>
    <t>Zpětný zásyp rýhy pro uložení dešťových svodů z haly</t>
  </si>
  <si>
    <t>výkop-obsyp</t>
  </si>
  <si>
    <t>Trvalé kotvy únosnost 300kN</t>
  </si>
  <si>
    <t>Dočasné kotvy  únosnost 300 kN</t>
  </si>
  <si>
    <t>PB 36*4,5+16*6,3+28,8*7</t>
  </si>
  <si>
    <t>celková délka stěny 36+16+29+21=102m</t>
  </si>
  <si>
    <t>odhad HEB180 -4x 6m 51,2kg/m + 20% na spoje tj. cca 1475 kg</t>
  </si>
  <si>
    <t>bloky 40,41,42 (v.č.03_4_12)</t>
  </si>
  <si>
    <t>celkem bloky 40 až 42</t>
  </si>
  <si>
    <t>viz kubaturové listy KL8+ 10% na nerovnosti</t>
  </si>
  <si>
    <t>kubaturový list 8 + 5% u sanací</t>
  </si>
  <si>
    <t>t</t>
  </si>
  <si>
    <r>
      <t xml:space="preserve">120kg/m3, 20% do </t>
    </r>
    <r>
      <rPr>
        <sz val="11"/>
        <rFont val="Arial"/>
        <family val="2"/>
        <charset val="238"/>
      </rPr>
      <t>ϕ</t>
    </r>
    <r>
      <rPr>
        <sz val="11"/>
        <rFont val="Calibri"/>
        <family val="2"/>
        <charset val="238"/>
        <scheme val="minor"/>
      </rPr>
      <t>12, 70% nad ϕ12, 10% sítě</t>
    </r>
  </si>
  <si>
    <r>
      <rPr>
        <b/>
        <sz val="11"/>
        <rFont val="Calibri"/>
        <family val="2"/>
        <charset val="238"/>
        <scheme val="minor"/>
      </rPr>
      <t>Sanace kamenných zdí</t>
    </r>
    <r>
      <rPr>
        <sz val="11"/>
        <rFont val="Calibri"/>
        <family val="2"/>
        <charset val="238"/>
        <scheme val="minor"/>
      </rPr>
      <t xml:space="preserve"> v ploše včetně odstranění náletových rostlin, očištění, doplnění chybějících kamenů a vyspárování</t>
    </r>
  </si>
  <si>
    <t>Provrtání štětovnic - vytvoření otvorů DN80 v patě stěny pro odtok spodní vody v místě dilatací, pouze u ponechávaných</t>
  </si>
  <si>
    <t>Odpadní koryto,
Bloky 29až31, 32až34, 45až47</t>
  </si>
  <si>
    <t>viz kubaturový list KL8</t>
  </si>
  <si>
    <t>LB 3*6,48+3*4,05+3*0,8</t>
  </si>
  <si>
    <t>3.10</t>
  </si>
  <si>
    <t>3.11</t>
  </si>
  <si>
    <t>Vodočetná lať dělená na 2 ks nad sebou celková délka 4,60m včetně přikotvení na LB pod MVE</t>
  </si>
  <si>
    <t xml:space="preserve">Lapač střešních vod gajgr </t>
  </si>
  <si>
    <t>PP 110/125 sUV stabilní úpravou, s košem na zachycení nečistot</t>
  </si>
  <si>
    <t>Redukce potrubí z DN125 na DN150 pod gajgrem</t>
  </si>
  <si>
    <t>5 x cca 3m</t>
  </si>
  <si>
    <t xml:space="preserve">Koleno DN 150 90° KG </t>
  </si>
  <si>
    <t>5*7m</t>
  </si>
  <si>
    <t>Potrubí pro napojení dešťových svodů svislých z haly DN110 s kotvením do zdiva (klempířský výrobek)</t>
  </si>
  <si>
    <t>Obnova vyústění dešťové kanalizace a osazení těsněných chrániček do beton. stěn včetně napojení na stávající potrubí a dotěsnění potrubí vůči chráničce.</t>
  </si>
  <si>
    <t>Potrubí PVC KG DN150 SN8 pro napojení dešťových svodů a odvedení vody do koryta, před stěnou navíc vložen hrdlový kus délky 1m</t>
  </si>
  <si>
    <t xml:space="preserve">Odtrhové zkoušky přípravy povrchu před nanášením sanačních hmot </t>
  </si>
  <si>
    <t>Bloky 03/41-42</t>
  </si>
  <si>
    <t xml:space="preserve">4.16 </t>
  </si>
  <si>
    <t>Sanace povrchu fasády bloku 03/41- očištění, stěrka sanační hmotou tl. 30mm se zrnem max. 4 mm s výztužnými vlákny, pevnost 50 MPa v tlaku, 75 MPa v tahu, 2,5 MPa odtrh, hmotu vyhladit do dřevěných omítníků, vytáhnout omítníky a začistit hmotou, včetně případné kompletní výmalby, materiál a vzhled odsouhlasí investor a majitel nemovitosti</t>
  </si>
  <si>
    <t>3.12</t>
  </si>
  <si>
    <t>bloky 03/40 a 03/42, 18m2+27m2</t>
  </si>
  <si>
    <r>
      <t>Polystyrenové desky tl. 20 mm</t>
    </r>
    <r>
      <rPr>
        <sz val="10"/>
        <color theme="1"/>
        <rFont val="Arial"/>
        <family val="2"/>
        <charset val="238"/>
      </rPr>
      <t xml:space="preserve"> – pomocná konstrukce umožňující následné </t>
    </r>
    <r>
      <rPr>
        <b/>
        <sz val="10"/>
        <color theme="1"/>
        <rFont val="Arial"/>
        <family val="2"/>
        <charset val="238"/>
      </rPr>
      <t>vytažení štětovnic</t>
    </r>
    <r>
      <rPr>
        <sz val="10"/>
        <color theme="1"/>
        <rFont val="Arial"/>
        <family val="2"/>
        <charset val="238"/>
      </rPr>
      <t xml:space="preserve"> po dokončení stavy – LB zeď nad mostem. Včetně spojovacích a uchycovacích prvků</t>
    </r>
  </si>
  <si>
    <t>Celková plocha kontaktu štětovnice -beton (l. x v.)</t>
  </si>
  <si>
    <t xml:space="preserve">Polystyren na 1/2 plochy </t>
  </si>
  <si>
    <t>Stavební voděvzdorná překližka tl. 6 mm</t>
  </si>
  <si>
    <t xml:space="preserve">Zásyp vln štětovnic štěrkopískem </t>
  </si>
  <si>
    <t>3.13</t>
  </si>
  <si>
    <t>21*3,1+15,7*3,15+35,7*2,3</t>
  </si>
  <si>
    <t>plocha překližky pol. 3.11 x šířka 0,4m x polovina vln</t>
  </si>
  <si>
    <r>
      <rPr>
        <b/>
        <sz val="11"/>
        <rFont val="Calibri"/>
        <family val="2"/>
        <charset val="238"/>
        <scheme val="minor"/>
      </rPr>
      <t>Zemní hřebíky</t>
    </r>
    <r>
      <rPr>
        <sz val="11"/>
        <rFont val="Calibri"/>
        <family val="2"/>
        <charset val="238"/>
        <scheme val="minor"/>
      </rPr>
      <t xml:space="preserve"> fi. 22 dl. 3m, včetně kotvení 1ks/2m2</t>
    </r>
  </si>
  <si>
    <t>Stříkání betonu C25/30 do 50 mm (13m2) a po ¼ hod další vrstva až do tl. 100 -120mm s vyztužením kari sítí 8/100-8/100, kotvení sítě k podkladu – 9 ks/1m2 lepených trnů ø R12 mm do hloubky 220 mm, pro docílení předepsané úrovně povrchu beton stříkat do ocelových stahovacích prutů (kotvených do betonu vlepenými pruty přivařených ke stahovacím prutům) a srovnat/stáhnout deskou. 
druhý den po nástřiku očištění uvolněných částic tlakovou vodou 500 barr a hned ten den nanesení speciální sanační hmoty tl. 30mm se zrnem max. 4 mm s výztužnými vlákny, pevnost 50 MPa v tlaku, 75 MPa v tahu, 2,5 MPa odtrh, hmotu vyhladit do dřevěných omítníků, vytáhnout omítníky a začistit hmotou. Blok 03/42</t>
  </si>
  <si>
    <t>6.10</t>
  </si>
  <si>
    <t>6.11</t>
  </si>
  <si>
    <t>6.12</t>
  </si>
  <si>
    <t>za studena zpracovatelná emulze bez obsahu rozpouštědel, spotřeba 0,1-0,4l/m2</t>
  </si>
  <si>
    <t>HDPE s nakašírovanou netkanou geotextilií na nopech, nopy výšky 8 mm, 1860 nopů/m2, plošná hmotnost 450g/m2, pevnost v tlaku 150 kN/m2, včetně ukončovací lišty</t>
  </si>
  <si>
    <t>Skrývka štěrkové vrstvy vozovky nad tubosiderem včetně odvozu a likvidace</t>
  </si>
  <si>
    <t xml:space="preserve">Výkop rýhy pro uložení dešťových svodů z haly </t>
  </si>
  <si>
    <t>Pomocný zásyp koryta pro osazování štětovnic a jejich vytažení včetně jeho odstranění</t>
  </si>
  <si>
    <t>2.21</t>
  </si>
  <si>
    <t>Separační geotextilie pod provizorní zásypy 600g/m2</t>
  </si>
  <si>
    <t>délka stěn 30m, výška 4m, tl.0,45m, včetně zajištění proti pádu při bourání</t>
  </si>
  <si>
    <t>Ocelové nosníky střechy přístavku včetně provizorního podepření a odřezání, vybourání z ponechaného zdiva a zapravení kapes</t>
  </si>
  <si>
    <t>2 x 2,0*2,2*0,3m</t>
  </si>
  <si>
    <t xml:space="preserve">12 dilatací, 2ks/1 dilataci </t>
  </si>
  <si>
    <t>hydroizolace 2x modifikovaný asfaltový pás vytáhnout 300 mm nad terén</t>
  </si>
  <si>
    <t>1.vrstva - pás z SBS modifikovaného asfaltu, nosná vložka ze skleněné tkaniny, horní povrch jemnozrnný minerální posyp, spodní povrch spalitelná PE fólie, tl. 4 mm, ohebnost za nízkých teplot až do -25C, (21m2)</t>
  </si>
  <si>
    <t>2. vrstva - pás z SBS modifikovaného asfaltu, nosná vložka z polyesterové rohože 200g/m2, horní povrch jemnozrnný minerální posyp, spodní povrch spalitelná PE fólie, tl. 4 mm, ohebnost za nízkých teplot až do -25C, (21m2)</t>
  </si>
  <si>
    <t xml:space="preserve">vyrovnávací vrstva - stěrka pod hydroizolační pásy </t>
  </si>
  <si>
    <t>perlinka s lepidlem přes zdivo YTONG</t>
  </si>
  <si>
    <t>2 x 2,0*2,2m</t>
  </si>
  <si>
    <t>Skladba asfaltové vozovky - celková tl. 310 mm</t>
  </si>
  <si>
    <t>Asfaltový beton pro obrusné vrstvy ACO 11+ tl 40 mm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</si>
  <si>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</si>
  <si>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Spojovací postřik kationkativní emulze 0,25 kg/ m</t>
    </r>
    <r>
      <rPr>
        <vertAlign val="superscript"/>
        <sz val="11"/>
        <rFont val="Calibri"/>
        <family val="2"/>
        <charset val="238"/>
        <scheme val="minor"/>
      </rPr>
      <t>2</t>
    </r>
  </si>
  <si>
    <t>Asfaltový beton pro ložné vrstvy ACP 16+ tl 70 mm</t>
  </si>
  <si>
    <r>
      <t>Spojovací postřik kationkativní emulze 0,4kg/ m</t>
    </r>
    <r>
      <rPr>
        <vertAlign val="superscript"/>
        <sz val="11"/>
        <rFont val="Calibri"/>
        <family val="2"/>
        <charset val="238"/>
        <scheme val="minor"/>
      </rPr>
      <t>2</t>
    </r>
  </si>
  <si>
    <t>Štěrkodrť    ŠD b tl 200 mm</t>
  </si>
  <si>
    <t>Celková tloušťka 310mm</t>
  </si>
  <si>
    <t>Úprava haly po odbourání přístřešku</t>
  </si>
  <si>
    <t>šířka zásypu 0,6 m v ploše 13m2</t>
  </si>
  <si>
    <t>3.14</t>
  </si>
  <si>
    <t xml:space="preserve">Demontáž štětovnic jejich vytažení </t>
  </si>
  <si>
    <t>půdorysná délka vytahovaných štětovnic: 21+16+36 = 73m, plocha 36*4,5+16*6,3+21*6,3=395,1m2</t>
  </si>
  <si>
    <t>Nedílnou součástí výkazu výměr je i výpis výrobků.</t>
  </si>
  <si>
    <t>Čerpání vody v době výstavby na výšku 5m po dobu 8 měsíců, 8 hod/den, 2 čerpadla, cca 500 l/s</t>
  </si>
  <si>
    <t>1.17</t>
  </si>
  <si>
    <t>Odstranění stávající asfaltové cesty vč. podkladních vrstev celk. tl. 310 mm</t>
  </si>
  <si>
    <t>3.15</t>
  </si>
  <si>
    <t>Kopaná sonda pro ověření hloubky založení haly a její zpětný zásyp</t>
  </si>
  <si>
    <t>1.18</t>
  </si>
  <si>
    <t>Vybourání stávající beton. konstrukce za blokem 03/44</t>
  </si>
  <si>
    <t>4.17</t>
  </si>
  <si>
    <t>5.9</t>
  </si>
  <si>
    <t>Přeložka rozvaděče Agro-dřevo včetně kabelů AYKY4x16, výkopu rýhy, signalizační fólie, zásypu a úpravy terénu, vzdálenost sloupů cca 6,0m</t>
  </si>
  <si>
    <t>Smykové boxy v dilatacích působící proti rozdílným pohybům stěn 2 sousedních bloků, 1ks/1 stěnu, v blocích se změnou výšky, smykové boxy budou dle přílohy detaily. Položka obsahuje zabednění atypického tvaru, betonáž a odbednění včetně dilatační stlačitelné podložky, např. mirelon 5mm.</t>
  </si>
  <si>
    <t>Těsnění návodní jímky fólií s přitížením např. panely</t>
  </si>
  <si>
    <t>1,5 x 12m</t>
  </si>
  <si>
    <t>pen</t>
  </si>
  <si>
    <t>Kamenný zához - zrno 10-150kg</t>
  </si>
  <si>
    <t>2.22</t>
  </si>
  <si>
    <t>Zdivo z tvárnic tl. 300 mm</t>
  </si>
  <si>
    <t>Stříkaný beton pro zajištění výkopu u haly tl. 50 mm včetně kari-sítě (cca u bl. 29 a 30), suchě</t>
  </si>
  <si>
    <t>lokální vyspravení hloubkových nerovností, včetně zaplnění kapes po nosnících</t>
  </si>
  <si>
    <t>21m2 (hala) + 1 (bl.43 pod 4/P)</t>
  </si>
  <si>
    <t>1.19</t>
  </si>
  <si>
    <t>Ubourání části betonového schodiště bloku 40 za MVE před zazděním, zarovnání ložné spáry</t>
  </si>
  <si>
    <t>4.18</t>
  </si>
  <si>
    <t xml:space="preserve">Dozdění schodiště a dobetonování římsy v bloku 40 za MVE </t>
  </si>
  <si>
    <r>
      <rPr>
        <sz val="11"/>
        <rFont val="Arial"/>
        <family val="2"/>
        <charset val="238"/>
      </rPr>
      <t>ϕ</t>
    </r>
    <r>
      <rPr>
        <sz val="11"/>
        <rFont val="Calibri"/>
        <family val="2"/>
        <charset val="238"/>
      </rPr>
      <t>12-9ks/m2 na 84m2, 84*9=756ks, průměr vrtání 16mm, hloubka vrtání 160mm, včetně vyčištění a vlepení, pruty započteny ve výztuži</t>
    </r>
  </si>
  <si>
    <t>8.</t>
  </si>
  <si>
    <r>
      <t>Zához z lomového kamene s proštěrkováním min. velikost</t>
    </r>
    <r>
      <rPr>
        <b/>
        <u/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250 mm 10-150kg</t>
    </r>
  </si>
  <si>
    <t>Kamený pohoz fr. 63 - 125 u příčné drenáže proti ucpání příčného potrubí pod drenážní obsyp.
0,2x0,2x0,2m/1 trubku, celkem 47ks příčných drénů, tj. 47*0,008=0,376m3</t>
  </si>
  <si>
    <t>Oprava komunikace před mostem pod MVE poškozené výkopy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</si>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</sst>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_-* #,##0\ _K_č_-;\-* #,##0\ _K_č_-;_-* &quot;-&quot;??\ _K_č_-;_-@_-"/>
    <numFmt numFmtId="168" formatCode="0.00000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 CE"/>
      <charset val="238"/>
    </font>
    <font>
      <b/>
      <sz val="14"/>
      <name val="Arial CE"/>
      <charset val="238"/>
    </font>
    <font>
      <b/>
      <sz val="12"/>
      <color indexed="8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238"/>
    </font>
    <font>
      <sz val="9"/>
      <name val="MS Sans Serif"/>
      <charset val="238"/>
    </font>
    <font>
      <vertAlign val="superscript"/>
      <sz val="9"/>
      <name val="Arial CE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charset val="238"/>
    </font>
    <font>
      <b/>
      <sz val="9"/>
      <name val="MS Sans Serif"/>
      <charset val="238"/>
    </font>
    <font>
      <b/>
      <sz val="9"/>
      <name val="Arial CE"/>
      <family val="2"/>
      <charset val="238"/>
    </font>
    <font>
      <sz val="12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u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33" fillId="0" borderId="0"/>
    <xf numFmtId="0" fontId="35" fillId="0" borderId="0"/>
  </cellStyleXfs>
  <cellXfs count="305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/>
    <xf numFmtId="0" fontId="2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6" fontId="9" fillId="0" borderId="3" xfId="1" applyNumberFormat="1" applyFont="1" applyBorder="1" applyAlignment="1">
      <alignment horizontal="center" vertical="center"/>
    </xf>
    <xf numFmtId="164" fontId="9" fillId="0" borderId="3" xfId="1" applyFont="1" applyBorder="1" applyAlignment="1">
      <alignment horizontal="center" vertical="center"/>
    </xf>
    <xf numFmtId="164" fontId="8" fillId="0" borderId="3" xfId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166" fontId="10" fillId="0" borderId="3" xfId="1" applyNumberFormat="1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7" fillId="0" borderId="10" xfId="0" applyFont="1" applyBorder="1"/>
    <xf numFmtId="0" fontId="17" fillId="0" borderId="10" xfId="0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0" fontId="17" fillId="0" borderId="11" xfId="0" applyFont="1" applyBorder="1"/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0" fontId="17" fillId="0" borderId="13" xfId="0" applyFont="1" applyFill="1" applyBorder="1"/>
    <xf numFmtId="0" fontId="19" fillId="0" borderId="14" xfId="0" applyFont="1" applyBorder="1"/>
    <xf numFmtId="0" fontId="20" fillId="0" borderId="14" xfId="0" applyFont="1" applyBorder="1"/>
    <xf numFmtId="0" fontId="20" fillId="0" borderId="15" xfId="0" applyFont="1" applyBorder="1"/>
    <xf numFmtId="0" fontId="20" fillId="0" borderId="12" xfId="0" applyFont="1" applyBorder="1"/>
    <xf numFmtId="0" fontId="20" fillId="0" borderId="0" xfId="0" applyFont="1" applyBorder="1"/>
    <xf numFmtId="2" fontId="17" fillId="0" borderId="0" xfId="0" applyNumberFormat="1" applyFont="1" applyBorder="1" applyAlignment="1">
      <alignment vertical="center"/>
    </xf>
    <xf numFmtId="0" fontId="20" fillId="0" borderId="19" xfId="0" applyFont="1" applyBorder="1"/>
    <xf numFmtId="0" fontId="20" fillId="0" borderId="20" xfId="0" applyFont="1" applyBorder="1"/>
    <xf numFmtId="2" fontId="17" fillId="0" borderId="20" xfId="0" applyNumberFormat="1" applyFont="1" applyBorder="1" applyAlignment="1">
      <alignment vertical="center"/>
    </xf>
    <xf numFmtId="2" fontId="19" fillId="0" borderId="1" xfId="0" applyNumberFormat="1" applyFont="1" applyBorder="1"/>
    <xf numFmtId="49" fontId="9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/>
    <xf numFmtId="0" fontId="9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vertical="center"/>
    </xf>
    <xf numFmtId="0" fontId="2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1" xfId="0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2" fontId="19" fillId="0" borderId="1" xfId="0" applyNumberFormat="1" applyFont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2" fontId="22" fillId="0" borderId="1" xfId="0" applyNumberFormat="1" applyFont="1" applyBorder="1" applyAlignment="1">
      <alignment vertical="center"/>
    </xf>
    <xf numFmtId="2" fontId="22" fillId="0" borderId="1" xfId="0" applyNumberFormat="1" applyFont="1" applyBorder="1" applyAlignment="1"/>
    <xf numFmtId="2" fontId="22" fillId="0" borderId="1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2" fontId="22" fillId="0" borderId="3" xfId="0" applyNumberFormat="1" applyFont="1" applyBorder="1" applyAlignment="1"/>
    <xf numFmtId="2" fontId="22" fillId="0" borderId="16" xfId="0" applyNumberFormat="1" applyFont="1" applyBorder="1" applyAlignment="1">
      <alignment horizontal="center" vertical="center"/>
    </xf>
    <xf numFmtId="165" fontId="0" fillId="0" borderId="0" xfId="0" applyNumberFormat="1"/>
    <xf numFmtId="49" fontId="10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/>
    </xf>
    <xf numFmtId="165" fontId="10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164" fontId="10" fillId="0" borderId="3" xfId="1" applyFont="1" applyBorder="1" applyAlignment="1">
      <alignment horizontal="center" vertical="center"/>
    </xf>
    <xf numFmtId="0" fontId="0" fillId="0" borderId="1" xfId="0" applyBorder="1"/>
    <xf numFmtId="0" fontId="10" fillId="0" borderId="3" xfId="0" applyFont="1" applyFill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0" fontId="10" fillId="0" borderId="0" xfId="0" applyFont="1"/>
    <xf numFmtId="165" fontId="9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2" fontId="19" fillId="0" borderId="1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2" fontId="22" fillId="0" borderId="16" xfId="0" applyNumberFormat="1" applyFont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2" fontId="22" fillId="0" borderId="16" xfId="0" applyNumberFormat="1" applyFont="1" applyBorder="1" applyAlignment="1">
      <alignment horizontal="center" vertical="center"/>
    </xf>
    <xf numFmtId="0" fontId="10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horizontal="center"/>
    </xf>
    <xf numFmtId="49" fontId="10" fillId="0" borderId="26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/>
    <xf numFmtId="0" fontId="0" fillId="0" borderId="1" xfId="0" applyFill="1" applyBorder="1" applyAlignment="1">
      <alignment wrapText="1"/>
    </xf>
    <xf numFmtId="0" fontId="16" fillId="0" borderId="1" xfId="0" applyFont="1" applyBorder="1"/>
    <xf numFmtId="2" fontId="0" fillId="0" borderId="1" xfId="0" applyNumberFormat="1" applyBorder="1"/>
    <xf numFmtId="2" fontId="16" fillId="0" borderId="1" xfId="0" applyNumberFormat="1" applyFont="1" applyBorder="1"/>
    <xf numFmtId="0" fontId="34" fillId="0" borderId="0" xfId="3" applyFont="1" applyAlignment="1">
      <alignment vertical="center"/>
    </xf>
    <xf numFmtId="0" fontId="35" fillId="0" borderId="0" xfId="3" applyFont="1" applyAlignment="1">
      <alignment vertical="center"/>
    </xf>
    <xf numFmtId="0" fontId="36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37" fillId="0" borderId="0" xfId="3" applyFont="1" applyAlignment="1">
      <alignment vertical="center"/>
    </xf>
    <xf numFmtId="0" fontId="35" fillId="0" borderId="0" xfId="4" applyAlignment="1">
      <alignment vertical="center"/>
    </xf>
    <xf numFmtId="0" fontId="37" fillId="0" borderId="0" xfId="3" applyFont="1" applyAlignment="1">
      <alignment horizontal="left"/>
    </xf>
    <xf numFmtId="0" fontId="35" fillId="0" borderId="0" xfId="3" applyFont="1"/>
    <xf numFmtId="0" fontId="38" fillId="0" borderId="12" xfId="3" applyFont="1" applyBorder="1" applyAlignment="1">
      <alignment horizontal="center"/>
    </xf>
    <xf numFmtId="0" fontId="38" fillId="0" borderId="10" xfId="3" applyFont="1" applyBorder="1" applyAlignment="1">
      <alignment horizontal="center"/>
    </xf>
    <xf numFmtId="0" fontId="38" fillId="0" borderId="36" xfId="3" applyFont="1" applyBorder="1" applyAlignment="1">
      <alignment horizontal="center"/>
    </xf>
    <xf numFmtId="0" fontId="38" fillId="0" borderId="8" xfId="3" applyFont="1" applyBorder="1" applyAlignment="1">
      <alignment horizontal="center"/>
    </xf>
    <xf numFmtId="0" fontId="38" fillId="0" borderId="17" xfId="3" applyFont="1" applyBorder="1" applyAlignment="1">
      <alignment horizontal="center"/>
    </xf>
    <xf numFmtId="0" fontId="38" fillId="0" borderId="19" xfId="3" applyFont="1" applyBorder="1" applyAlignment="1">
      <alignment horizontal="center"/>
    </xf>
    <xf numFmtId="0" fontId="38" fillId="0" borderId="11" xfId="3" applyFont="1" applyBorder="1" applyAlignment="1">
      <alignment horizontal="center"/>
    </xf>
    <xf numFmtId="0" fontId="38" fillId="0" borderId="4" xfId="3" applyFont="1" applyBorder="1" applyAlignment="1">
      <alignment horizontal="center"/>
    </xf>
    <xf numFmtId="0" fontId="38" fillId="0" borderId="5" xfId="3" applyFont="1" applyBorder="1" applyAlignment="1">
      <alignment horizontal="center"/>
    </xf>
    <xf numFmtId="0" fontId="38" fillId="0" borderId="6" xfId="3" applyFont="1" applyBorder="1" applyAlignment="1">
      <alignment horizontal="center"/>
    </xf>
    <xf numFmtId="0" fontId="34" fillId="0" borderId="37" xfId="3" applyFont="1" applyBorder="1"/>
    <xf numFmtId="0" fontId="34" fillId="0" borderId="38" xfId="3" applyFont="1" applyBorder="1"/>
    <xf numFmtId="2" fontId="34" fillId="0" borderId="38" xfId="3" applyNumberFormat="1" applyFont="1" applyBorder="1"/>
    <xf numFmtId="0" fontId="34" fillId="0" borderId="39" xfId="3" applyFont="1" applyBorder="1"/>
    <xf numFmtId="168" fontId="38" fillId="0" borderId="29" xfId="3" applyNumberFormat="1" applyFont="1" applyBorder="1" applyAlignment="1">
      <alignment horizontal="center" vertical="center"/>
    </xf>
    <xf numFmtId="2" fontId="38" fillId="0" borderId="27" xfId="3" applyNumberFormat="1" applyFont="1" applyBorder="1" applyAlignment="1">
      <alignment horizontal="center" vertical="center"/>
    </xf>
    <xf numFmtId="2" fontId="38" fillId="0" borderId="41" xfId="3" applyNumberFormat="1" applyFont="1" applyBorder="1" applyAlignment="1">
      <alignment horizontal="center" vertical="center"/>
    </xf>
    <xf numFmtId="0" fontId="35" fillId="0" borderId="0" xfId="3" applyFont="1" applyAlignment="1">
      <alignment horizontal="center" vertical="center"/>
    </xf>
    <xf numFmtId="2" fontId="35" fillId="0" borderId="0" xfId="3" applyNumberFormat="1" applyFont="1" applyAlignment="1">
      <alignment horizontal="center" vertical="center"/>
    </xf>
    <xf numFmtId="2" fontId="38" fillId="0" borderId="47" xfId="3" applyNumberFormat="1" applyFont="1" applyBorder="1" applyAlignment="1">
      <alignment horizontal="center" vertical="center"/>
    </xf>
    <xf numFmtId="2" fontId="38" fillId="0" borderId="48" xfId="3" applyNumberFormat="1" applyFont="1" applyBorder="1" applyAlignment="1">
      <alignment horizontal="center" vertical="center"/>
    </xf>
    <xf numFmtId="2" fontId="42" fillId="0" borderId="46" xfId="3" applyNumberFormat="1" applyFont="1" applyBorder="1" applyAlignment="1">
      <alignment horizontal="center" vertical="center"/>
    </xf>
    <xf numFmtId="0" fontId="34" fillId="0" borderId="0" xfId="3" applyFont="1"/>
    <xf numFmtId="0" fontId="38" fillId="0" borderId="36" xfId="3" applyFont="1" applyBorder="1" applyAlignment="1">
      <alignment horizontal="center" vertical="center" wrapText="1"/>
    </xf>
    <xf numFmtId="0" fontId="2" fillId="0" borderId="0" xfId="0" applyFont="1" applyFill="1"/>
    <xf numFmtId="2" fontId="0" fillId="0" borderId="1" xfId="0" applyNumberFormat="1" applyFont="1" applyBorder="1"/>
    <xf numFmtId="0" fontId="10" fillId="0" borderId="7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/>
    </xf>
    <xf numFmtId="0" fontId="0" fillId="0" borderId="1" xfId="0" applyFill="1" applyBorder="1"/>
    <xf numFmtId="0" fontId="46" fillId="0" borderId="1" xfId="0" applyFont="1" applyFill="1" applyBorder="1"/>
    <xf numFmtId="0" fontId="46" fillId="0" borderId="1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left" vertical="center" wrapText="1"/>
    </xf>
    <xf numFmtId="0" fontId="46" fillId="0" borderId="0" xfId="0" applyFont="1" applyFill="1" applyBorder="1"/>
    <xf numFmtId="0" fontId="24" fillId="0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left" vertical="center"/>
    </xf>
    <xf numFmtId="49" fontId="0" fillId="0" borderId="0" xfId="0" applyNumberFormat="1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0" fillId="0" borderId="1" xfId="0" applyFont="1" applyFill="1" applyBorder="1" applyAlignment="1"/>
    <xf numFmtId="49" fontId="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164" fontId="9" fillId="0" borderId="3" xfId="1" applyFont="1" applyFill="1" applyBorder="1" applyAlignment="1">
      <alignment horizontal="center" vertical="center"/>
    </xf>
    <xf numFmtId="164" fontId="10" fillId="0" borderId="3" xfId="1" applyFont="1" applyFill="1" applyBorder="1" applyAlignment="1">
      <alignment horizontal="center" vertical="center"/>
    </xf>
    <xf numFmtId="167" fontId="10" fillId="0" borderId="3" xfId="1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1" fontId="10" fillId="0" borderId="16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27" fillId="0" borderId="1" xfId="0" applyFont="1" applyFill="1" applyBorder="1" applyAlignment="1">
      <alignment wrapText="1"/>
    </xf>
    <xf numFmtId="49" fontId="0" fillId="0" borderId="2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/>
    <xf numFmtId="0" fontId="23" fillId="0" borderId="49" xfId="0" applyFont="1" applyFill="1" applyBorder="1" applyAlignment="1">
      <alignment horizontal="center" wrapText="1"/>
    </xf>
    <xf numFmtId="49" fontId="0" fillId="0" borderId="26" xfId="0" applyNumberFormat="1" applyFill="1" applyBorder="1" applyAlignment="1">
      <alignment horizontal="center" vertical="center"/>
    </xf>
    <xf numFmtId="0" fontId="10" fillId="0" borderId="7" xfId="0" applyFont="1" applyFill="1" applyBorder="1"/>
    <xf numFmtId="0" fontId="23" fillId="0" borderId="7" xfId="0" applyFont="1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5" xfId="0" applyFill="1" applyBorder="1"/>
    <xf numFmtId="0" fontId="0" fillId="0" borderId="6" xfId="0" applyFill="1" applyBorder="1"/>
    <xf numFmtId="166" fontId="10" fillId="0" borderId="3" xfId="1" applyNumberFormat="1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49" fontId="25" fillId="4" borderId="27" xfId="0" applyNumberFormat="1" applyFont="1" applyFill="1" applyBorder="1" applyAlignment="1">
      <alignment horizontal="center" vertical="center"/>
    </xf>
    <xf numFmtId="0" fontId="25" fillId="4" borderId="28" xfId="0" applyFont="1" applyFill="1" applyBorder="1" applyAlignment="1">
      <alignment horizontal="left" vertical="top" wrapText="1"/>
    </xf>
    <xf numFmtId="0" fontId="10" fillId="4" borderId="28" xfId="0" applyFont="1" applyFill="1" applyBorder="1" applyAlignment="1">
      <alignment horizontal="center" vertical="center"/>
    </xf>
    <xf numFmtId="165" fontId="10" fillId="4" borderId="29" xfId="0" applyNumberFormat="1" applyFont="1" applyFill="1" applyBorder="1" applyAlignment="1">
      <alignment horizontal="center" vertical="center"/>
    </xf>
    <xf numFmtId="49" fontId="25" fillId="4" borderId="23" xfId="0" applyNumberFormat="1" applyFont="1" applyFill="1" applyBorder="1" applyAlignment="1">
      <alignment horizontal="center" vertical="center"/>
    </xf>
    <xf numFmtId="0" fontId="25" fillId="4" borderId="8" xfId="0" applyFont="1" applyFill="1" applyBorder="1"/>
    <xf numFmtId="0" fontId="10" fillId="4" borderId="8" xfId="0" applyFont="1" applyFill="1" applyBorder="1"/>
    <xf numFmtId="165" fontId="10" fillId="4" borderId="17" xfId="0" applyNumberFormat="1" applyFont="1" applyFill="1" applyBorder="1" applyAlignment="1">
      <alignment horizontal="center" vertical="center"/>
    </xf>
    <xf numFmtId="49" fontId="25" fillId="4" borderId="2" xfId="0" applyNumberFormat="1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vertical="center"/>
    </xf>
    <xf numFmtId="164" fontId="9" fillId="4" borderId="3" xfId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/>
    <xf numFmtId="0" fontId="10" fillId="4" borderId="1" xfId="0" applyFont="1" applyFill="1" applyBorder="1"/>
    <xf numFmtId="0" fontId="10" fillId="4" borderId="3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wrapText="1"/>
    </xf>
    <xf numFmtId="49" fontId="16" fillId="4" borderId="2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16" fillId="4" borderId="3" xfId="0" applyFont="1" applyFill="1" applyBorder="1"/>
    <xf numFmtId="0" fontId="0" fillId="4" borderId="1" xfId="0" applyFill="1" applyBorder="1"/>
    <xf numFmtId="0" fontId="16" fillId="4" borderId="1" xfId="0" applyFont="1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2" fontId="16" fillId="3" borderId="1" xfId="0" applyNumberFormat="1" applyFont="1" applyFill="1" applyBorder="1"/>
    <xf numFmtId="2" fontId="0" fillId="3" borderId="1" xfId="0" applyNumberFormat="1" applyFill="1" applyBorder="1"/>
    <xf numFmtId="2" fontId="16" fillId="4" borderId="1" xfId="0" applyNumberFormat="1" applyFont="1" applyFill="1" applyBorder="1"/>
    <xf numFmtId="0" fontId="30" fillId="5" borderId="1" xfId="0" applyFont="1" applyFill="1" applyBorder="1"/>
    <xf numFmtId="2" fontId="29" fillId="5" borderId="1" xfId="0" applyNumberFormat="1" applyFont="1" applyFill="1" applyBorder="1"/>
    <xf numFmtId="0" fontId="0" fillId="0" borderId="0" xfId="0" applyFont="1" applyBorder="1"/>
    <xf numFmtId="2" fontId="16" fillId="0" borderId="0" xfId="0" applyNumberFormat="1" applyFont="1" applyBorder="1"/>
    <xf numFmtId="0" fontId="16" fillId="0" borderId="0" xfId="0" applyFont="1" applyBorder="1" applyAlignment="1"/>
    <xf numFmtId="0" fontId="16" fillId="0" borderId="0" xfId="0" applyFont="1" applyBorder="1"/>
    <xf numFmtId="0" fontId="16" fillId="0" borderId="27" xfId="0" applyFont="1" applyBorder="1"/>
    <xf numFmtId="0" fontId="0" fillId="0" borderId="28" xfId="0" applyBorder="1" applyAlignment="1">
      <alignment wrapText="1"/>
    </xf>
    <xf numFmtId="0" fontId="0" fillId="0" borderId="28" xfId="0" applyBorder="1"/>
    <xf numFmtId="0" fontId="0" fillId="0" borderId="29" xfId="0" applyBorder="1"/>
    <xf numFmtId="0" fontId="16" fillId="3" borderId="2" xfId="0" applyFont="1" applyFill="1" applyBorder="1"/>
    <xf numFmtId="0" fontId="0" fillId="3" borderId="3" xfId="0" applyFill="1" applyBorder="1"/>
    <xf numFmtId="0" fontId="0" fillId="0" borderId="2" xfId="0" applyBorder="1"/>
    <xf numFmtId="0" fontId="0" fillId="0" borderId="3" xfId="0" applyBorder="1"/>
    <xf numFmtId="0" fontId="16" fillId="4" borderId="2" xfId="0" applyFont="1" applyFill="1" applyBorder="1"/>
    <xf numFmtId="0" fontId="0" fillId="4" borderId="3" xfId="0" applyFill="1" applyBorder="1"/>
    <xf numFmtId="0" fontId="16" fillId="0" borderId="2" xfId="0" applyFont="1" applyBorder="1"/>
    <xf numFmtId="0" fontId="0" fillId="0" borderId="2" xfId="0" applyFont="1" applyBorder="1" applyAlignment="1">
      <alignment horizontal="left" vertical="top"/>
    </xf>
    <xf numFmtId="0" fontId="0" fillId="0" borderId="2" xfId="0" applyBorder="1" applyAlignment="1">
      <alignment wrapText="1"/>
    </xf>
    <xf numFmtId="0" fontId="29" fillId="5" borderId="2" xfId="0" applyFont="1" applyFill="1" applyBorder="1"/>
    <xf numFmtId="0" fontId="0" fillId="5" borderId="3" xfId="0" applyFill="1" applyBorder="1"/>
    <xf numFmtId="0" fontId="29" fillId="3" borderId="2" xfId="0" applyFont="1" applyFill="1" applyBorder="1"/>
    <xf numFmtId="0" fontId="0" fillId="0" borderId="2" xfId="0" applyFont="1" applyBorder="1"/>
    <xf numFmtId="0" fontId="29" fillId="4" borderId="2" xfId="0" applyFont="1" applyFill="1" applyBorder="1"/>
    <xf numFmtId="0" fontId="16" fillId="0" borderId="2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4" xfId="0" applyFont="1" applyBorder="1"/>
    <xf numFmtId="0" fontId="0" fillId="0" borderId="5" xfId="0" applyBorder="1"/>
    <xf numFmtId="2" fontId="16" fillId="0" borderId="5" xfId="0" applyNumberFormat="1" applyFont="1" applyBorder="1"/>
    <xf numFmtId="0" fontId="0" fillId="0" borderId="6" xfId="0" applyBorder="1"/>
    <xf numFmtId="0" fontId="29" fillId="6" borderId="0" xfId="0" applyFont="1" applyFill="1"/>
    <xf numFmtId="0" fontId="0" fillId="6" borderId="0" xfId="0" applyFill="1"/>
    <xf numFmtId="2" fontId="22" fillId="0" borderId="16" xfId="0" applyNumberFormat="1" applyFont="1" applyBorder="1" applyAlignment="1">
      <alignment horizontal="center" vertical="center"/>
    </xf>
    <xf numFmtId="2" fontId="22" fillId="0" borderId="17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2" fontId="22" fillId="0" borderId="8" xfId="0" applyNumberFormat="1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textRotation="90" wrapText="1"/>
    </xf>
    <xf numFmtId="0" fontId="17" fillId="0" borderId="10" xfId="0" applyFont="1" applyBorder="1" applyAlignment="1">
      <alignment horizontal="center" textRotation="90" wrapText="1"/>
    </xf>
    <xf numFmtId="0" fontId="17" fillId="0" borderId="9" xfId="0" applyFont="1" applyBorder="1" applyAlignment="1">
      <alignment horizontal="center"/>
    </xf>
    <xf numFmtId="0" fontId="17" fillId="6" borderId="9" xfId="0" applyFont="1" applyFill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2" fontId="17" fillId="0" borderId="10" xfId="0" applyNumberFormat="1" applyFont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2" fontId="42" fillId="0" borderId="29" xfId="3" applyNumberFormat="1" applyFont="1" applyBorder="1" applyAlignment="1">
      <alignment horizontal="center" vertical="center"/>
    </xf>
    <xf numFmtId="0" fontId="43" fillId="0" borderId="3" xfId="3" applyFont="1" applyBorder="1" applyAlignment="1">
      <alignment horizontal="center" vertical="center"/>
    </xf>
    <xf numFmtId="2" fontId="38" fillId="0" borderId="7" xfId="3" applyNumberFormat="1" applyFont="1" applyBorder="1" applyAlignment="1">
      <alignment horizontal="center" vertical="center"/>
    </xf>
    <xf numFmtId="0" fontId="33" fillId="0" borderId="8" xfId="3" applyBorder="1" applyAlignment="1">
      <alignment horizontal="center" vertical="center"/>
    </xf>
    <xf numFmtId="0" fontId="38" fillId="0" borderId="26" xfId="3" applyFont="1" applyBorder="1" applyAlignment="1">
      <alignment horizontal="center" vertical="center"/>
    </xf>
    <xf numFmtId="0" fontId="33" fillId="0" borderId="45" xfId="3" applyBorder="1"/>
    <xf numFmtId="168" fontId="38" fillId="0" borderId="16" xfId="3" applyNumberFormat="1" applyFont="1" applyBorder="1" applyAlignment="1">
      <alignment horizontal="center" vertical="center"/>
    </xf>
    <xf numFmtId="0" fontId="33" fillId="0" borderId="46" xfId="3" applyBorder="1"/>
    <xf numFmtId="2" fontId="38" fillId="0" borderId="26" xfId="3" applyNumberFormat="1" applyFont="1" applyBorder="1" applyAlignment="1">
      <alignment horizontal="center" vertical="center"/>
    </xf>
    <xf numFmtId="0" fontId="38" fillId="0" borderId="26" xfId="3" applyFont="1" applyBorder="1" applyAlignment="1">
      <alignment horizontal="center" vertical="center" wrapText="1"/>
    </xf>
    <xf numFmtId="0" fontId="33" fillId="0" borderId="23" xfId="3" applyBorder="1"/>
    <xf numFmtId="0" fontId="33" fillId="0" borderId="17" xfId="3" applyBorder="1"/>
    <xf numFmtId="0" fontId="33" fillId="0" borderId="23" xfId="3" applyBorder="1" applyAlignment="1">
      <alignment horizontal="center" vertical="center"/>
    </xf>
    <xf numFmtId="2" fontId="38" fillId="0" borderId="43" xfId="3" applyNumberFormat="1" applyFont="1" applyBorder="1" applyAlignment="1">
      <alignment horizontal="center" vertical="center"/>
    </xf>
    <xf numFmtId="0" fontId="33" fillId="0" borderId="42" xfId="3" applyBorder="1"/>
    <xf numFmtId="0" fontId="33" fillId="0" borderId="8" xfId="3" applyBorder="1"/>
    <xf numFmtId="2" fontId="44" fillId="0" borderId="10" xfId="3" applyNumberFormat="1" applyFont="1" applyBorder="1" applyAlignment="1">
      <alignment horizontal="center" vertical="center"/>
    </xf>
    <xf numFmtId="2" fontId="33" fillId="0" borderId="11" xfId="3" applyNumberFormat="1" applyBorder="1" applyAlignment="1">
      <alignment horizontal="center" vertical="center"/>
    </xf>
    <xf numFmtId="0" fontId="33" fillId="0" borderId="42" xfId="3" applyBorder="1" applyAlignment="1">
      <alignment horizontal="center" vertical="center"/>
    </xf>
    <xf numFmtId="168" fontId="38" fillId="0" borderId="17" xfId="3" applyNumberFormat="1" applyFont="1" applyBorder="1" applyAlignment="1">
      <alignment horizontal="center" vertical="center"/>
    </xf>
    <xf numFmtId="2" fontId="38" fillId="0" borderId="44" xfId="3" applyNumberFormat="1" applyFont="1" applyBorder="1" applyAlignment="1">
      <alignment horizontal="center" vertical="center"/>
    </xf>
    <xf numFmtId="0" fontId="35" fillId="0" borderId="13" xfId="3" applyFont="1" applyBorder="1" applyAlignment="1">
      <alignment horizontal="center" vertical="center" wrapText="1"/>
    </xf>
    <xf numFmtId="0" fontId="35" fillId="0" borderId="15" xfId="3" applyFont="1" applyBorder="1" applyAlignment="1">
      <alignment horizontal="center" vertical="center" wrapText="1"/>
    </xf>
    <xf numFmtId="0" fontId="33" fillId="0" borderId="12" xfId="3" applyBorder="1" applyAlignment="1">
      <alignment wrapText="1"/>
    </xf>
    <xf numFmtId="0" fontId="33" fillId="0" borderId="18" xfId="3" applyBorder="1" applyAlignment="1">
      <alignment wrapText="1"/>
    </xf>
    <xf numFmtId="0" fontId="33" fillId="0" borderId="19" xfId="3" applyBorder="1" applyAlignment="1">
      <alignment wrapText="1"/>
    </xf>
    <xf numFmtId="0" fontId="33" fillId="0" borderId="21" xfId="3" applyBorder="1" applyAlignment="1">
      <alignment wrapText="1"/>
    </xf>
    <xf numFmtId="0" fontId="38" fillId="0" borderId="15" xfId="3" applyFont="1" applyBorder="1" applyAlignment="1">
      <alignment horizontal="center" textRotation="90" wrapText="1"/>
    </xf>
    <xf numFmtId="0" fontId="39" fillId="0" borderId="18" xfId="3" applyFont="1" applyBorder="1" applyAlignment="1">
      <alignment horizontal="center"/>
    </xf>
    <xf numFmtId="0" fontId="35" fillId="0" borderId="30" xfId="3" applyFont="1" applyBorder="1" applyAlignment="1">
      <alignment horizontal="left"/>
    </xf>
    <xf numFmtId="0" fontId="33" fillId="0" borderId="31" xfId="3" applyBorder="1" applyAlignment="1">
      <alignment horizontal="left"/>
    </xf>
    <xf numFmtId="0" fontId="33" fillId="0" borderId="32" xfId="3" applyBorder="1" applyAlignment="1">
      <alignment horizontal="left"/>
    </xf>
    <xf numFmtId="0" fontId="42" fillId="6" borderId="33" xfId="3" applyFont="1" applyFill="1" applyBorder="1" applyAlignment="1">
      <alignment horizontal="center" vertical="center" wrapText="1"/>
    </xf>
    <xf numFmtId="0" fontId="43" fillId="6" borderId="34" xfId="3" applyFont="1" applyFill="1" applyBorder="1" applyAlignment="1">
      <alignment horizontal="center" vertical="center" wrapText="1"/>
    </xf>
    <xf numFmtId="0" fontId="43" fillId="6" borderId="35" xfId="3" applyFont="1" applyFill="1" applyBorder="1" applyAlignment="1">
      <alignment horizontal="center" vertical="center" wrapText="1"/>
    </xf>
    <xf numFmtId="0" fontId="43" fillId="6" borderId="33" xfId="3" applyFont="1" applyFill="1" applyBorder="1" applyAlignment="1">
      <alignment horizontal="center" vertical="center" wrapText="1"/>
    </xf>
    <xf numFmtId="2" fontId="38" fillId="0" borderId="40" xfId="3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wrapText="1"/>
    </xf>
    <xf numFmtId="0" fontId="17" fillId="6" borderId="9" xfId="0" applyFont="1" applyFill="1" applyBorder="1" applyAlignment="1">
      <alignment horizontal="center" wrapText="1"/>
    </xf>
  </cellXfs>
  <cellStyles count="5">
    <cellStyle name="Čárka" xfId="1" builtinId="3"/>
    <cellStyle name="Normální" xfId="0" builtinId="0"/>
    <cellStyle name="Normální 2" xfId="2"/>
    <cellStyle name="Normální 3" xfId="4"/>
    <cellStyle name="normální_Kubatury_cesta_vzo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2"/>
  <sheetViews>
    <sheetView tabSelected="1" topLeftCell="A306" zoomScale="115" zoomScaleNormal="115" workbookViewId="0">
      <selection activeCell="G14" sqref="G14"/>
    </sheetView>
  </sheetViews>
  <sheetFormatPr defaultRowHeight="15" x14ac:dyDescent="0.25"/>
  <cols>
    <col min="1" max="1" width="2.85546875" style="1" customWidth="1"/>
    <col min="2" max="2" width="9.140625" style="1"/>
    <col min="3" max="3" width="48" style="1" customWidth="1"/>
    <col min="4" max="4" width="11" style="1" customWidth="1"/>
    <col min="5" max="5" width="18.28515625" style="1" customWidth="1"/>
    <col min="6" max="16384" width="9.140625" style="1"/>
  </cols>
  <sheetData>
    <row r="2" spans="2:6" ht="15.75" customHeight="1" x14ac:dyDescent="0.25">
      <c r="B2" s="2" t="s">
        <v>40</v>
      </c>
      <c r="C2" s="54"/>
      <c r="D2" s="54"/>
      <c r="E2" s="54"/>
    </row>
    <row r="3" spans="2:6" ht="15.75" customHeight="1" x14ac:dyDescent="0.25">
      <c r="B3" s="2" t="s">
        <v>41</v>
      </c>
      <c r="C3" s="54"/>
      <c r="D3" s="54"/>
      <c r="E3" s="54"/>
    </row>
    <row r="4" spans="2:6" ht="18" x14ac:dyDescent="0.25">
      <c r="B4" s="3" t="s">
        <v>0</v>
      </c>
    </row>
    <row r="5" spans="2:6" ht="15.75" x14ac:dyDescent="0.25">
      <c r="B5" s="4" t="s">
        <v>39</v>
      </c>
    </row>
    <row r="6" spans="2:6" x14ac:dyDescent="0.25">
      <c r="B6" s="5"/>
    </row>
    <row r="7" spans="2:6" x14ac:dyDescent="0.25">
      <c r="B7" s="6" t="s">
        <v>1</v>
      </c>
      <c r="F7" s="8"/>
    </row>
    <row r="8" spans="2:6" x14ac:dyDescent="0.25">
      <c r="B8" s="6" t="s">
        <v>2</v>
      </c>
      <c r="F8" s="8"/>
    </row>
    <row r="9" spans="2:6" x14ac:dyDescent="0.25">
      <c r="B9" s="7" t="s">
        <v>252</v>
      </c>
    </row>
    <row r="10" spans="2:6" ht="18.75" x14ac:dyDescent="0.3">
      <c r="B10" s="55" t="s">
        <v>130</v>
      </c>
      <c r="C10" s="56" t="s">
        <v>131</v>
      </c>
    </row>
    <row r="11" spans="2:6" ht="19.5" thickBot="1" x14ac:dyDescent="0.35">
      <c r="B11" s="56"/>
      <c r="C11" s="56"/>
    </row>
    <row r="12" spans="2:6" ht="15.75" thickBot="1" x14ac:dyDescent="0.3">
      <c r="B12" s="177" t="s">
        <v>3</v>
      </c>
      <c r="C12" s="178" t="s">
        <v>4</v>
      </c>
      <c r="D12" s="178" t="s">
        <v>5</v>
      </c>
      <c r="E12" s="179" t="s">
        <v>38</v>
      </c>
    </row>
    <row r="13" spans="2:6" ht="31.5" x14ac:dyDescent="0.25">
      <c r="B13" s="180">
        <v>1</v>
      </c>
      <c r="C13" s="181" t="s">
        <v>347</v>
      </c>
      <c r="D13" s="182"/>
      <c r="E13" s="183"/>
    </row>
    <row r="14" spans="2:6" ht="17.25" x14ac:dyDescent="0.25">
      <c r="B14" s="76" t="s">
        <v>44</v>
      </c>
      <c r="C14" s="77" t="s">
        <v>135</v>
      </c>
      <c r="D14" s="62" t="s">
        <v>28</v>
      </c>
      <c r="E14" s="78" t="s">
        <v>445</v>
      </c>
    </row>
    <row r="15" spans="2:6" ht="30" x14ac:dyDescent="0.25">
      <c r="B15" s="76"/>
      <c r="C15" s="87" t="s">
        <v>141</v>
      </c>
      <c r="D15" s="62"/>
      <c r="E15" s="78">
        <f>0.15*1*15+1.32*6.5+1.5*10*0.8</f>
        <v>22.83</v>
      </c>
    </row>
    <row r="16" spans="2:6" x14ac:dyDescent="0.25">
      <c r="B16" s="76"/>
      <c r="C16" s="77" t="s">
        <v>140</v>
      </c>
      <c r="D16" s="62"/>
      <c r="E16" s="78"/>
    </row>
    <row r="17" spans="2:5" x14ac:dyDescent="0.25">
      <c r="B17" s="76"/>
      <c r="C17" s="77" t="s">
        <v>136</v>
      </c>
      <c r="D17" s="62"/>
      <c r="E17" s="78">
        <f>1.15*4.5</f>
        <v>5.1749999999999998</v>
      </c>
    </row>
    <row r="18" spans="2:5" x14ac:dyDescent="0.25">
      <c r="B18" s="76"/>
      <c r="C18" s="77" t="s">
        <v>139</v>
      </c>
      <c r="D18" s="62"/>
      <c r="E18" s="78"/>
    </row>
    <row r="19" spans="2:5" x14ac:dyDescent="0.25">
      <c r="B19" s="76"/>
      <c r="C19" s="77" t="s">
        <v>137</v>
      </c>
      <c r="D19" s="62"/>
      <c r="E19" s="78">
        <f>20.5*0.5*1.1</f>
        <v>11.275</v>
      </c>
    </row>
    <row r="20" spans="2:5" x14ac:dyDescent="0.25">
      <c r="B20" s="76"/>
      <c r="C20" s="77" t="s">
        <v>138</v>
      </c>
      <c r="D20" s="62"/>
      <c r="E20" s="78"/>
    </row>
    <row r="21" spans="2:5" x14ac:dyDescent="0.25">
      <c r="B21" s="76"/>
      <c r="C21" s="77" t="s">
        <v>144</v>
      </c>
      <c r="D21" s="62"/>
      <c r="E21" s="78">
        <v>10</v>
      </c>
    </row>
    <row r="22" spans="2:5" x14ac:dyDescent="0.25">
      <c r="B22" s="63"/>
      <c r="C22" s="64"/>
      <c r="D22" s="53"/>
      <c r="E22" s="65"/>
    </row>
    <row r="23" spans="2:5" ht="17.25" x14ac:dyDescent="0.25">
      <c r="B23" s="76" t="s">
        <v>45</v>
      </c>
      <c r="C23" s="77" t="s">
        <v>145</v>
      </c>
      <c r="D23" s="62" t="s">
        <v>28</v>
      </c>
      <c r="E23" s="78">
        <f>SO_03_KL_5!G39</f>
        <v>399.33900000000006</v>
      </c>
    </row>
    <row r="24" spans="2:5" x14ac:dyDescent="0.25">
      <c r="B24" s="76"/>
      <c r="C24" s="50" t="s">
        <v>27</v>
      </c>
      <c r="D24" s="62"/>
      <c r="E24" s="78"/>
    </row>
    <row r="25" spans="2:5" x14ac:dyDescent="0.25">
      <c r="B25" s="76"/>
      <c r="C25" s="50"/>
      <c r="D25" s="62"/>
      <c r="E25" s="78"/>
    </row>
    <row r="26" spans="2:5" ht="17.25" x14ac:dyDescent="0.25">
      <c r="B26" s="76" t="s">
        <v>46</v>
      </c>
      <c r="C26" s="77" t="s">
        <v>222</v>
      </c>
      <c r="D26" s="62" t="s">
        <v>28</v>
      </c>
      <c r="E26" s="78">
        <f>30*4*0.45</f>
        <v>54</v>
      </c>
    </row>
    <row r="27" spans="2:5" ht="30" x14ac:dyDescent="0.25">
      <c r="B27" s="76"/>
      <c r="C27" s="87" t="s">
        <v>408</v>
      </c>
      <c r="D27" s="62"/>
      <c r="E27" s="78"/>
    </row>
    <row r="28" spans="2:5" x14ac:dyDescent="0.25">
      <c r="B28" s="63"/>
      <c r="C28" s="64"/>
      <c r="D28" s="53"/>
      <c r="E28" s="65"/>
    </row>
    <row r="29" spans="2:5" ht="30" x14ac:dyDescent="0.25">
      <c r="B29" s="76" t="s">
        <v>47</v>
      </c>
      <c r="C29" s="87" t="s">
        <v>142</v>
      </c>
      <c r="D29" s="62" t="s">
        <v>28</v>
      </c>
      <c r="E29" s="78">
        <v>2</v>
      </c>
    </row>
    <row r="30" spans="2:5" x14ac:dyDescent="0.25">
      <c r="B30" s="76"/>
      <c r="C30" s="77" t="s">
        <v>143</v>
      </c>
      <c r="D30" s="62"/>
      <c r="E30" s="78"/>
    </row>
    <row r="31" spans="2:5" x14ac:dyDescent="0.25">
      <c r="B31" s="63"/>
      <c r="C31" s="64"/>
      <c r="D31" s="53"/>
      <c r="E31" s="65"/>
    </row>
    <row r="32" spans="2:5" ht="17.25" x14ac:dyDescent="0.25">
      <c r="B32" s="76" t="s">
        <v>55</v>
      </c>
      <c r="C32" s="77" t="s">
        <v>159</v>
      </c>
      <c r="D32" s="62" t="s">
        <v>28</v>
      </c>
      <c r="E32" s="78">
        <f>83.6*0.23</f>
        <v>19.227999999999998</v>
      </c>
    </row>
    <row r="33" spans="2:6" x14ac:dyDescent="0.25">
      <c r="B33" s="76"/>
      <c r="C33" s="77" t="s">
        <v>343</v>
      </c>
      <c r="D33" s="62"/>
      <c r="E33" s="78"/>
    </row>
    <row r="34" spans="2:6" x14ac:dyDescent="0.25">
      <c r="B34" s="76"/>
      <c r="C34" s="77"/>
      <c r="D34" s="62"/>
      <c r="E34" s="78"/>
    </row>
    <row r="35" spans="2:6" x14ac:dyDescent="0.25">
      <c r="B35" s="76" t="s">
        <v>48</v>
      </c>
      <c r="C35" s="77" t="s">
        <v>147</v>
      </c>
      <c r="D35" s="62" t="s">
        <v>63</v>
      </c>
      <c r="E35" s="78">
        <v>83.6</v>
      </c>
    </row>
    <row r="36" spans="2:6" x14ac:dyDescent="0.25">
      <c r="B36" s="76"/>
      <c r="C36" s="77"/>
      <c r="D36" s="62"/>
      <c r="E36" s="78"/>
    </row>
    <row r="37" spans="2:6" ht="45" x14ac:dyDescent="0.25">
      <c r="B37" s="76" t="s">
        <v>49</v>
      </c>
      <c r="C37" s="87" t="s">
        <v>409</v>
      </c>
      <c r="D37" s="62" t="s">
        <v>54</v>
      </c>
      <c r="E37" s="78">
        <f>12*7.5*26.2+10.5*26.2</f>
        <v>2633.1</v>
      </c>
    </row>
    <row r="38" spans="2:6" x14ac:dyDescent="0.25">
      <c r="B38" s="76"/>
      <c r="C38" s="77" t="s">
        <v>154</v>
      </c>
      <c r="D38" s="62"/>
      <c r="E38" s="78"/>
    </row>
    <row r="39" spans="2:6" x14ac:dyDescent="0.25">
      <c r="B39" s="76"/>
      <c r="C39" s="77" t="s">
        <v>153</v>
      </c>
      <c r="D39" s="62"/>
      <c r="E39" s="78"/>
    </row>
    <row r="40" spans="2:6" x14ac:dyDescent="0.25">
      <c r="B40" s="76"/>
      <c r="C40" s="77"/>
      <c r="D40" s="62"/>
      <c r="E40" s="78"/>
    </row>
    <row r="41" spans="2:6" ht="15" customHeight="1" x14ac:dyDescent="0.25">
      <c r="B41" s="76" t="s">
        <v>50</v>
      </c>
      <c r="C41" s="87" t="s">
        <v>151</v>
      </c>
      <c r="D41" s="62" t="s">
        <v>28</v>
      </c>
      <c r="E41" s="78">
        <v>1.1000000000000001</v>
      </c>
      <c r="F41" s="84"/>
    </row>
    <row r="42" spans="2:6" x14ac:dyDescent="0.25">
      <c r="B42" s="76"/>
      <c r="C42" s="77" t="s">
        <v>152</v>
      </c>
      <c r="D42" s="62"/>
      <c r="E42" s="78"/>
      <c r="F42" s="84"/>
    </row>
    <row r="43" spans="2:6" x14ac:dyDescent="0.25">
      <c r="B43" s="63"/>
      <c r="C43" s="64"/>
      <c r="D43" s="53"/>
      <c r="E43" s="65"/>
    </row>
    <row r="44" spans="2:6" x14ac:dyDescent="0.25">
      <c r="B44" s="76" t="s">
        <v>51</v>
      </c>
      <c r="C44" s="77" t="s">
        <v>146</v>
      </c>
      <c r="D44" s="62" t="s">
        <v>54</v>
      </c>
      <c r="E44" s="78">
        <f>37*4*1.1</f>
        <v>162.80000000000001</v>
      </c>
    </row>
    <row r="45" spans="2:6" x14ac:dyDescent="0.25">
      <c r="B45" s="76"/>
      <c r="C45" s="77" t="s">
        <v>150</v>
      </c>
      <c r="D45" s="62"/>
      <c r="E45" s="78"/>
    </row>
    <row r="46" spans="2:6" x14ac:dyDescent="0.25">
      <c r="B46" s="76"/>
      <c r="C46" s="77"/>
      <c r="D46" s="62"/>
      <c r="E46" s="78"/>
    </row>
    <row r="47" spans="2:6" x14ac:dyDescent="0.25">
      <c r="B47" s="76" t="s">
        <v>52</v>
      </c>
      <c r="C47" s="77" t="s">
        <v>149</v>
      </c>
      <c r="D47" s="62" t="s">
        <v>61</v>
      </c>
      <c r="E47" s="78">
        <f>83.5*0.4</f>
        <v>33.4</v>
      </c>
    </row>
    <row r="48" spans="2:6" x14ac:dyDescent="0.25">
      <c r="B48" s="76"/>
      <c r="C48" s="77" t="s">
        <v>148</v>
      </c>
      <c r="D48" s="62"/>
      <c r="E48" s="78"/>
    </row>
    <row r="49" spans="2:6" x14ac:dyDescent="0.25">
      <c r="B49" s="76"/>
      <c r="C49" s="77"/>
      <c r="D49" s="62"/>
      <c r="E49" s="78"/>
    </row>
    <row r="50" spans="2:6" x14ac:dyDescent="0.25">
      <c r="B50" s="76" t="s">
        <v>53</v>
      </c>
      <c r="C50" s="77" t="s">
        <v>155</v>
      </c>
      <c r="D50" s="62" t="s">
        <v>54</v>
      </c>
      <c r="E50" s="78">
        <f>11.1*8.2*13</f>
        <v>1183.26</v>
      </c>
      <c r="F50" s="84"/>
    </row>
    <row r="51" spans="2:6" x14ac:dyDescent="0.25">
      <c r="B51" s="76"/>
      <c r="C51" s="77" t="s">
        <v>156</v>
      </c>
      <c r="D51" s="62"/>
      <c r="E51" s="78"/>
      <c r="F51" s="84"/>
    </row>
    <row r="52" spans="2:6" x14ac:dyDescent="0.25">
      <c r="B52" s="63"/>
      <c r="C52" s="64"/>
      <c r="D52" s="53"/>
      <c r="E52" s="65"/>
    </row>
    <row r="53" spans="2:6" ht="30" x14ac:dyDescent="0.25">
      <c r="B53" s="76" t="s">
        <v>56</v>
      </c>
      <c r="C53" s="87" t="s">
        <v>346</v>
      </c>
      <c r="D53" s="62" t="s">
        <v>61</v>
      </c>
      <c r="E53" s="78">
        <v>1</v>
      </c>
    </row>
    <row r="54" spans="2:6" x14ac:dyDescent="0.25">
      <c r="B54" s="63"/>
      <c r="C54" s="64"/>
      <c r="D54" s="53"/>
      <c r="E54" s="65"/>
    </row>
    <row r="55" spans="2:6" ht="30" x14ac:dyDescent="0.25">
      <c r="B55" s="76" t="s">
        <v>57</v>
      </c>
      <c r="C55" s="87" t="s">
        <v>220</v>
      </c>
      <c r="D55" s="62" t="s">
        <v>59</v>
      </c>
      <c r="E55" s="78">
        <v>1</v>
      </c>
    </row>
    <row r="56" spans="2:6" x14ac:dyDescent="0.25">
      <c r="B56" s="63"/>
      <c r="C56" s="66"/>
      <c r="D56" s="53"/>
      <c r="E56" s="65"/>
    </row>
    <row r="57" spans="2:6" x14ac:dyDescent="0.25">
      <c r="B57" s="76" t="s">
        <v>58</v>
      </c>
      <c r="C57" s="87" t="s">
        <v>221</v>
      </c>
      <c r="D57" s="62" t="s">
        <v>61</v>
      </c>
      <c r="E57" s="78">
        <f>30*0.25*0.45</f>
        <v>3.375</v>
      </c>
    </row>
    <row r="58" spans="2:6" x14ac:dyDescent="0.25">
      <c r="B58" s="63"/>
      <c r="C58" s="77" t="s">
        <v>223</v>
      </c>
      <c r="D58" s="53"/>
      <c r="E58" s="65"/>
    </row>
    <row r="59" spans="2:6" x14ac:dyDescent="0.25">
      <c r="B59" s="63"/>
      <c r="C59" s="77"/>
      <c r="D59" s="53"/>
      <c r="E59" s="65"/>
    </row>
    <row r="60" spans="2:6" ht="45" x14ac:dyDescent="0.25">
      <c r="B60" s="76" t="s">
        <v>60</v>
      </c>
      <c r="C60" s="87" t="s">
        <v>344</v>
      </c>
      <c r="D60" s="62" t="s">
        <v>59</v>
      </c>
      <c r="E60" s="78">
        <v>1</v>
      </c>
      <c r="F60" s="84"/>
    </row>
    <row r="61" spans="2:6" x14ac:dyDescent="0.25">
      <c r="B61" s="76"/>
      <c r="C61" s="87"/>
      <c r="D61" s="62"/>
      <c r="E61" s="78"/>
      <c r="F61" s="84"/>
    </row>
    <row r="62" spans="2:6" ht="45" x14ac:dyDescent="0.25">
      <c r="B62" s="76" t="s">
        <v>202</v>
      </c>
      <c r="C62" s="87" t="s">
        <v>345</v>
      </c>
      <c r="D62" s="62" t="s">
        <v>98</v>
      </c>
      <c r="E62" s="78">
        <v>1</v>
      </c>
      <c r="F62" s="84"/>
    </row>
    <row r="63" spans="2:6" x14ac:dyDescent="0.25">
      <c r="B63" s="76"/>
      <c r="C63" s="87"/>
      <c r="D63" s="53"/>
      <c r="E63" s="65"/>
    </row>
    <row r="64" spans="2:6" ht="30" x14ac:dyDescent="0.25">
      <c r="B64" s="76" t="s">
        <v>433</v>
      </c>
      <c r="C64" s="87" t="s">
        <v>434</v>
      </c>
      <c r="D64" s="62" t="s">
        <v>85</v>
      </c>
      <c r="E64" s="78">
        <v>30</v>
      </c>
    </row>
    <row r="65" spans="2:5" x14ac:dyDescent="0.25">
      <c r="B65" s="76"/>
      <c r="C65" s="87"/>
      <c r="D65" s="62"/>
      <c r="E65" s="78"/>
    </row>
    <row r="66" spans="2:5" ht="30" x14ac:dyDescent="0.25">
      <c r="B66" s="76" t="s">
        <v>437</v>
      </c>
      <c r="C66" s="87" t="s">
        <v>438</v>
      </c>
      <c r="D66" s="62" t="s">
        <v>61</v>
      </c>
      <c r="E66" s="78">
        <v>2</v>
      </c>
    </row>
    <row r="67" spans="2:5" x14ac:dyDescent="0.25">
      <c r="B67" s="76"/>
      <c r="C67" s="87"/>
      <c r="D67" s="62"/>
      <c r="E67" s="78"/>
    </row>
    <row r="68" spans="2:5" ht="30" x14ac:dyDescent="0.25">
      <c r="B68" s="76" t="s">
        <v>452</v>
      </c>
      <c r="C68" s="87" t="s">
        <v>453</v>
      </c>
      <c r="D68" s="62" t="s">
        <v>61</v>
      </c>
      <c r="E68" s="78">
        <v>0.5</v>
      </c>
    </row>
    <row r="69" spans="2:5" x14ac:dyDescent="0.25">
      <c r="B69" s="63"/>
      <c r="C69" s="64"/>
      <c r="D69" s="53"/>
      <c r="E69" s="65"/>
    </row>
    <row r="70" spans="2:5" ht="15.75" x14ac:dyDescent="0.25">
      <c r="B70" s="184">
        <v>2</v>
      </c>
      <c r="C70" s="185" t="s">
        <v>6</v>
      </c>
      <c r="D70" s="186"/>
      <c r="E70" s="187"/>
    </row>
    <row r="71" spans="2:5" s="8" customFormat="1" ht="17.25" x14ac:dyDescent="0.25">
      <c r="B71" s="76" t="s">
        <v>42</v>
      </c>
      <c r="C71" s="52" t="s">
        <v>84</v>
      </c>
      <c r="D71" s="62" t="s">
        <v>85</v>
      </c>
      <c r="E71" s="78">
        <f>SO_03_KL_4!M39</f>
        <v>1351.201</v>
      </c>
    </row>
    <row r="72" spans="2:5" s="8" customFormat="1" ht="17.25" customHeight="1" x14ac:dyDescent="0.25">
      <c r="B72" s="76"/>
      <c r="C72" s="50" t="s">
        <v>27</v>
      </c>
      <c r="D72" s="50"/>
      <c r="E72" s="78"/>
    </row>
    <row r="73" spans="2:5" s="8" customFormat="1" ht="17.25" customHeight="1" x14ac:dyDescent="0.25">
      <c r="B73" s="60"/>
      <c r="C73" s="9"/>
      <c r="D73" s="9"/>
      <c r="E73" s="21"/>
    </row>
    <row r="74" spans="2:5" s="8" customFormat="1" ht="17.25" x14ac:dyDescent="0.25">
      <c r="B74" s="26" t="s">
        <v>43</v>
      </c>
      <c r="C74" s="10" t="s">
        <v>23</v>
      </c>
      <c r="D74" s="13" t="s">
        <v>11</v>
      </c>
      <c r="E74" s="22">
        <f>SO_03_KL_5b!G57</f>
        <v>1875.73965</v>
      </c>
    </row>
    <row r="75" spans="2:5" s="8" customFormat="1" ht="30" x14ac:dyDescent="0.25">
      <c r="B75" s="57"/>
      <c r="C75" s="52" t="s">
        <v>348</v>
      </c>
      <c r="D75" s="12" t="s">
        <v>28</v>
      </c>
      <c r="E75" s="28"/>
    </row>
    <row r="76" spans="2:5" s="8" customFormat="1" x14ac:dyDescent="0.25">
      <c r="B76" s="26"/>
      <c r="C76" s="11" t="s">
        <v>27</v>
      </c>
      <c r="D76" s="11"/>
      <c r="E76" s="61"/>
    </row>
    <row r="77" spans="2:5" s="8" customFormat="1" ht="9" customHeight="1" x14ac:dyDescent="0.25">
      <c r="B77" s="27"/>
      <c r="C77" s="9"/>
      <c r="D77" s="9"/>
      <c r="E77" s="21"/>
    </row>
    <row r="78" spans="2:5" s="8" customFormat="1" ht="17.25" x14ac:dyDescent="0.25">
      <c r="B78" s="26" t="s">
        <v>62</v>
      </c>
      <c r="C78" s="10" t="s">
        <v>66</v>
      </c>
      <c r="D78" s="13" t="s">
        <v>11</v>
      </c>
      <c r="E78" s="23">
        <f>SO_03_KL_5b!J57</f>
        <v>615.45899999999983</v>
      </c>
    </row>
    <row r="79" spans="2:5" s="8" customFormat="1" x14ac:dyDescent="0.25">
      <c r="B79" s="26"/>
      <c r="C79" s="11" t="s">
        <v>27</v>
      </c>
      <c r="D79" s="13"/>
      <c r="E79" s="24"/>
    </row>
    <row r="80" spans="2:5" s="8" customFormat="1" ht="9" customHeight="1" x14ac:dyDescent="0.25">
      <c r="B80" s="27"/>
      <c r="C80" s="14"/>
      <c r="D80" s="15"/>
      <c r="E80" s="25"/>
    </row>
    <row r="81" spans="2:5" s="8" customFormat="1" ht="30" x14ac:dyDescent="0.25">
      <c r="B81" s="26" t="s">
        <v>67</v>
      </c>
      <c r="C81" s="16" t="s">
        <v>7</v>
      </c>
      <c r="D81" s="13" t="s">
        <v>12</v>
      </c>
      <c r="E81" s="23">
        <f>SO_03_KL_4!J39</f>
        <v>740.57200000000012</v>
      </c>
    </row>
    <row r="82" spans="2:5" s="8" customFormat="1" x14ac:dyDescent="0.25">
      <c r="B82" s="26"/>
      <c r="C82" s="11" t="s">
        <v>27</v>
      </c>
      <c r="D82" s="13"/>
      <c r="E82" s="23"/>
    </row>
    <row r="83" spans="2:5" s="8" customFormat="1" ht="9" customHeight="1" x14ac:dyDescent="0.25">
      <c r="B83" s="26"/>
      <c r="C83" s="10"/>
      <c r="D83" s="13"/>
      <c r="E83" s="24"/>
    </row>
    <row r="84" spans="2:5" s="8" customFormat="1" ht="30" x14ac:dyDescent="0.25">
      <c r="B84" s="26" t="s">
        <v>68</v>
      </c>
      <c r="C84" s="16" t="s">
        <v>186</v>
      </c>
      <c r="D84" s="13" t="s">
        <v>12</v>
      </c>
      <c r="E84" s="23">
        <f>SO_03_KL_4!G39</f>
        <v>531.37</v>
      </c>
    </row>
    <row r="85" spans="2:5" s="8" customFormat="1" x14ac:dyDescent="0.25">
      <c r="B85" s="26"/>
      <c r="C85" s="11" t="s">
        <v>27</v>
      </c>
      <c r="D85" s="13"/>
      <c r="E85" s="24"/>
    </row>
    <row r="86" spans="2:5" s="8" customFormat="1" ht="9" customHeight="1" x14ac:dyDescent="0.25">
      <c r="B86" s="27"/>
      <c r="C86" s="9"/>
      <c r="D86" s="15"/>
      <c r="E86" s="25"/>
    </row>
    <row r="87" spans="2:5" s="8" customFormat="1" ht="17.25" x14ac:dyDescent="0.25">
      <c r="B87" s="26" t="s">
        <v>69</v>
      </c>
      <c r="C87" s="10" t="s">
        <v>24</v>
      </c>
      <c r="D87" s="13" t="s">
        <v>12</v>
      </c>
      <c r="E87" s="23">
        <f>SO_03_KL_4!J39</f>
        <v>740.57200000000012</v>
      </c>
    </row>
    <row r="88" spans="2:5" s="8" customFormat="1" x14ac:dyDescent="0.25">
      <c r="B88" s="26"/>
      <c r="C88" s="11" t="s">
        <v>27</v>
      </c>
      <c r="D88" s="13"/>
      <c r="E88" s="24"/>
    </row>
    <row r="89" spans="2:5" s="8" customFormat="1" ht="9" customHeight="1" x14ac:dyDescent="0.25">
      <c r="B89" s="26"/>
      <c r="C89" s="11"/>
      <c r="D89" s="13"/>
      <c r="E89" s="24"/>
    </row>
    <row r="90" spans="2:5" s="8" customFormat="1" ht="9" customHeight="1" x14ac:dyDescent="0.25">
      <c r="B90" s="26"/>
      <c r="C90" s="10"/>
      <c r="D90" s="13"/>
      <c r="E90" s="24"/>
    </row>
    <row r="91" spans="2:5" s="8" customFormat="1" ht="17.25" x14ac:dyDescent="0.25">
      <c r="B91" s="26" t="s">
        <v>75</v>
      </c>
      <c r="C91" s="10" t="s">
        <v>8</v>
      </c>
      <c r="D91" s="13" t="s">
        <v>12</v>
      </c>
      <c r="E91" s="23">
        <f>SO_03_KL_4!G39</f>
        <v>531.37</v>
      </c>
    </row>
    <row r="92" spans="2:5" s="8" customFormat="1" x14ac:dyDescent="0.25">
      <c r="B92" s="26"/>
      <c r="C92" s="11" t="s">
        <v>27</v>
      </c>
      <c r="D92" s="13"/>
      <c r="E92" s="24"/>
    </row>
    <row r="93" spans="2:5" s="8" customFormat="1" x14ac:dyDescent="0.25">
      <c r="B93" s="26"/>
      <c r="C93" s="11"/>
      <c r="D93" s="13"/>
      <c r="E93" s="24"/>
    </row>
    <row r="94" spans="2:5" s="8" customFormat="1" ht="17.25" x14ac:dyDescent="0.25">
      <c r="B94" s="26" t="s">
        <v>113</v>
      </c>
      <c r="C94" s="10" t="s">
        <v>161</v>
      </c>
      <c r="D94" s="12" t="s">
        <v>28</v>
      </c>
      <c r="E94" s="24">
        <f>E95+E96</f>
        <v>37.125</v>
      </c>
    </row>
    <row r="95" spans="2:5" s="8" customFormat="1" x14ac:dyDescent="0.25">
      <c r="B95" s="26"/>
      <c r="C95" s="11" t="s">
        <v>163</v>
      </c>
      <c r="D95" s="13"/>
      <c r="E95" s="80">
        <f>27.5*0.45</f>
        <v>12.375</v>
      </c>
    </row>
    <row r="96" spans="2:5" s="8" customFormat="1" x14ac:dyDescent="0.25">
      <c r="B96" s="26"/>
      <c r="C96" s="11" t="s">
        <v>164</v>
      </c>
      <c r="D96" s="13"/>
      <c r="E96" s="80">
        <f>55*0.45</f>
        <v>24.75</v>
      </c>
    </row>
    <row r="97" spans="2:6" s="8" customFormat="1" x14ac:dyDescent="0.25">
      <c r="B97" s="26"/>
      <c r="C97" s="11"/>
      <c r="D97" s="13"/>
      <c r="E97" s="24"/>
    </row>
    <row r="98" spans="2:6" s="8" customFormat="1" ht="17.25" x14ac:dyDescent="0.25">
      <c r="B98" s="26" t="s">
        <v>114</v>
      </c>
      <c r="C98" s="10" t="s">
        <v>162</v>
      </c>
      <c r="D98" s="12" t="s">
        <v>28</v>
      </c>
      <c r="E98" s="24">
        <f>E99+E100</f>
        <v>57.75</v>
      </c>
    </row>
    <row r="99" spans="2:6" s="8" customFormat="1" x14ac:dyDescent="0.25">
      <c r="B99" s="26"/>
      <c r="C99" s="11" t="s">
        <v>165</v>
      </c>
      <c r="D99" s="13"/>
      <c r="E99" s="80">
        <f>27.5*0.7</f>
        <v>19.25</v>
      </c>
    </row>
    <row r="100" spans="2:6" s="8" customFormat="1" x14ac:dyDescent="0.25">
      <c r="B100" s="26"/>
      <c r="C100" s="11" t="s">
        <v>166</v>
      </c>
      <c r="D100" s="13"/>
      <c r="E100" s="80">
        <f>55*0.7</f>
        <v>38.5</v>
      </c>
    </row>
    <row r="101" spans="2:6" s="8" customFormat="1" x14ac:dyDescent="0.25">
      <c r="B101" s="48"/>
      <c r="C101" s="50"/>
      <c r="D101" s="49"/>
      <c r="E101" s="157"/>
    </row>
    <row r="102" spans="2:6" s="8" customFormat="1" ht="30" customHeight="1" x14ac:dyDescent="0.25">
      <c r="B102" s="48" t="s">
        <v>171</v>
      </c>
      <c r="C102" s="79" t="s">
        <v>458</v>
      </c>
      <c r="D102" s="49" t="s">
        <v>61</v>
      </c>
      <c r="E102" s="158">
        <f>SO_03_KL_6!G39</f>
        <v>222.3203</v>
      </c>
    </row>
    <row r="103" spans="2:6" s="8" customFormat="1" x14ac:dyDescent="0.25">
      <c r="B103" s="48"/>
      <c r="C103" s="50" t="s">
        <v>27</v>
      </c>
      <c r="D103" s="49"/>
      <c r="E103" s="158"/>
    </row>
    <row r="104" spans="2:6" s="8" customFormat="1" x14ac:dyDescent="0.25">
      <c r="B104" s="48"/>
      <c r="C104" s="50"/>
      <c r="D104" s="49"/>
      <c r="E104" s="158"/>
    </row>
    <row r="105" spans="2:6" s="8" customFormat="1" ht="30" x14ac:dyDescent="0.25">
      <c r="B105" s="26" t="s">
        <v>172</v>
      </c>
      <c r="C105" s="17" t="s">
        <v>349</v>
      </c>
      <c r="D105" s="13" t="s">
        <v>61</v>
      </c>
      <c r="E105" s="80">
        <f>SO_03_KL_6!J39</f>
        <v>111.21249999999999</v>
      </c>
      <c r="F105" s="138"/>
    </row>
    <row r="106" spans="2:6" s="8" customFormat="1" x14ac:dyDescent="0.25">
      <c r="B106" s="26"/>
      <c r="C106" s="11" t="s">
        <v>27</v>
      </c>
      <c r="D106" s="13"/>
      <c r="E106" s="80"/>
    </row>
    <row r="107" spans="2:6" s="8" customFormat="1" x14ac:dyDescent="0.25">
      <c r="B107" s="26"/>
      <c r="C107" s="17"/>
      <c r="D107" s="13"/>
      <c r="E107" s="80"/>
    </row>
    <row r="108" spans="2:6" s="8" customFormat="1" ht="45" x14ac:dyDescent="0.25">
      <c r="B108" s="26" t="s">
        <v>173</v>
      </c>
      <c r="C108" s="17" t="s">
        <v>181</v>
      </c>
      <c r="D108" s="13" t="s">
        <v>61</v>
      </c>
      <c r="E108" s="80">
        <f>15*2</f>
        <v>30</v>
      </c>
    </row>
    <row r="109" spans="2:6" s="8" customFormat="1" x14ac:dyDescent="0.25">
      <c r="B109" s="26"/>
      <c r="C109" s="17" t="s">
        <v>170</v>
      </c>
      <c r="D109" s="13"/>
      <c r="E109" s="24"/>
    </row>
    <row r="110" spans="2:6" s="8" customFormat="1" x14ac:dyDescent="0.25">
      <c r="B110" s="26"/>
      <c r="C110" s="17"/>
      <c r="D110" s="13"/>
      <c r="E110" s="24"/>
    </row>
    <row r="111" spans="2:6" s="8" customFormat="1" ht="30" x14ac:dyDescent="0.25">
      <c r="B111" s="76" t="s">
        <v>174</v>
      </c>
      <c r="C111" s="87" t="s">
        <v>403</v>
      </c>
      <c r="D111" s="62" t="s">
        <v>61</v>
      </c>
      <c r="E111" s="78">
        <f>11.1*16*0.1</f>
        <v>17.760000000000002</v>
      </c>
    </row>
    <row r="112" spans="2:6" s="8" customFormat="1" x14ac:dyDescent="0.25">
      <c r="B112" s="76"/>
      <c r="C112" s="87" t="s">
        <v>157</v>
      </c>
      <c r="D112" s="62"/>
      <c r="E112" s="78"/>
    </row>
    <row r="113" spans="2:5" s="8" customFormat="1" x14ac:dyDescent="0.25">
      <c r="B113" s="26"/>
      <c r="C113" s="17"/>
      <c r="D113" s="13"/>
      <c r="E113" s="157"/>
    </row>
    <row r="114" spans="2:5" s="8" customFormat="1" ht="45" x14ac:dyDescent="0.25">
      <c r="B114" s="26" t="s">
        <v>180</v>
      </c>
      <c r="C114" s="17" t="s">
        <v>187</v>
      </c>
      <c r="D114" s="13" t="s">
        <v>61</v>
      </c>
      <c r="E114" s="157">
        <f>E74-E78-E105</f>
        <v>1149.0681500000001</v>
      </c>
    </row>
    <row r="115" spans="2:5" s="8" customFormat="1" x14ac:dyDescent="0.25">
      <c r="B115" s="26"/>
      <c r="C115" s="17"/>
      <c r="D115" s="13"/>
      <c r="E115" s="157"/>
    </row>
    <row r="116" spans="2:5" s="8" customFormat="1" ht="30" x14ac:dyDescent="0.25">
      <c r="B116" s="26" t="s">
        <v>189</v>
      </c>
      <c r="C116" s="17" t="s">
        <v>192</v>
      </c>
      <c r="D116" s="13" t="s">
        <v>61</v>
      </c>
      <c r="E116" s="158">
        <f>5.3*29</f>
        <v>153.69999999999999</v>
      </c>
    </row>
    <row r="117" spans="2:5" s="8" customFormat="1" x14ac:dyDescent="0.25">
      <c r="B117" s="26"/>
      <c r="C117" s="17" t="s">
        <v>188</v>
      </c>
      <c r="D117" s="13"/>
      <c r="E117" s="80"/>
    </row>
    <row r="118" spans="2:5" s="8" customFormat="1" x14ac:dyDescent="0.25">
      <c r="B118" s="26"/>
      <c r="C118" s="17"/>
      <c r="D118" s="13"/>
      <c r="E118" s="80"/>
    </row>
    <row r="119" spans="2:5" s="8" customFormat="1" x14ac:dyDescent="0.25">
      <c r="B119" s="26" t="s">
        <v>190</v>
      </c>
      <c r="C119" s="17" t="s">
        <v>443</v>
      </c>
      <c r="D119" s="13" t="s">
        <v>63</v>
      </c>
      <c r="E119" s="80">
        <v>35</v>
      </c>
    </row>
    <row r="120" spans="2:5" s="8" customFormat="1" x14ac:dyDescent="0.25">
      <c r="B120" s="26"/>
      <c r="C120" s="17" t="s">
        <v>191</v>
      </c>
      <c r="D120" s="13"/>
      <c r="E120" s="80"/>
    </row>
    <row r="121" spans="2:5" s="8" customFormat="1" x14ac:dyDescent="0.25">
      <c r="B121" s="26"/>
      <c r="C121" s="17"/>
      <c r="D121" s="13"/>
      <c r="E121" s="80"/>
    </row>
    <row r="122" spans="2:5" s="8" customFormat="1" x14ac:dyDescent="0.25">
      <c r="B122" s="26" t="s">
        <v>210</v>
      </c>
      <c r="C122" s="17" t="s">
        <v>404</v>
      </c>
      <c r="D122" s="13" t="s">
        <v>61</v>
      </c>
      <c r="E122" s="80">
        <f>5*7*1.2*0.6</f>
        <v>25.2</v>
      </c>
    </row>
    <row r="123" spans="2:5" s="8" customFormat="1" x14ac:dyDescent="0.25">
      <c r="B123" s="26"/>
      <c r="C123" s="17" t="s">
        <v>211</v>
      </c>
      <c r="D123" s="13"/>
      <c r="E123" s="80"/>
    </row>
    <row r="124" spans="2:5" s="8" customFormat="1" x14ac:dyDescent="0.25">
      <c r="B124" s="48"/>
      <c r="C124" s="52"/>
      <c r="D124" s="49"/>
      <c r="E124" s="158"/>
    </row>
    <row r="125" spans="2:5" s="8" customFormat="1" x14ac:dyDescent="0.25">
      <c r="B125" s="48" t="s">
        <v>212</v>
      </c>
      <c r="C125" s="52" t="s">
        <v>213</v>
      </c>
      <c r="D125" s="49" t="s">
        <v>61</v>
      </c>
      <c r="E125" s="158">
        <f>5*7*0.4*0.6</f>
        <v>8.4</v>
      </c>
    </row>
    <row r="126" spans="2:5" s="8" customFormat="1" x14ac:dyDescent="0.25">
      <c r="B126" s="48"/>
      <c r="C126" s="52" t="s">
        <v>350</v>
      </c>
      <c r="D126" s="49"/>
      <c r="E126" s="158"/>
    </row>
    <row r="127" spans="2:5" s="8" customFormat="1" x14ac:dyDescent="0.25">
      <c r="B127" s="48"/>
      <c r="C127" s="52"/>
      <c r="D127" s="49"/>
      <c r="E127" s="158"/>
    </row>
    <row r="128" spans="2:5" s="8" customFormat="1" ht="30" x14ac:dyDescent="0.25">
      <c r="B128" s="48" t="s">
        <v>241</v>
      </c>
      <c r="C128" s="52" t="s">
        <v>405</v>
      </c>
      <c r="D128" s="49" t="s">
        <v>59</v>
      </c>
      <c r="E128" s="158">
        <v>1</v>
      </c>
    </row>
    <row r="129" spans="2:5" s="8" customFormat="1" x14ac:dyDescent="0.25">
      <c r="B129" s="48"/>
      <c r="C129" s="52"/>
      <c r="D129" s="49"/>
      <c r="E129" s="158"/>
    </row>
    <row r="130" spans="2:5" s="8" customFormat="1" x14ac:dyDescent="0.25">
      <c r="B130" s="48" t="s">
        <v>351</v>
      </c>
      <c r="C130" s="153" t="s">
        <v>352</v>
      </c>
      <c r="D130" s="49" t="s">
        <v>61</v>
      </c>
      <c r="E130" s="158">
        <f>E122-E125</f>
        <v>16.799999999999997</v>
      </c>
    </row>
    <row r="131" spans="2:5" s="8" customFormat="1" x14ac:dyDescent="0.25">
      <c r="B131" s="48"/>
      <c r="C131" s="52" t="s">
        <v>353</v>
      </c>
      <c r="D131" s="49"/>
      <c r="E131" s="158"/>
    </row>
    <row r="132" spans="2:5" s="8" customFormat="1" x14ac:dyDescent="0.25">
      <c r="B132" s="48"/>
      <c r="C132" s="52"/>
      <c r="D132" s="49"/>
      <c r="E132" s="158"/>
    </row>
    <row r="133" spans="2:5" s="8" customFormat="1" x14ac:dyDescent="0.25">
      <c r="B133" s="48" t="s">
        <v>406</v>
      </c>
      <c r="C133" s="153" t="s">
        <v>407</v>
      </c>
      <c r="D133" s="49" t="s">
        <v>63</v>
      </c>
      <c r="E133" s="158">
        <v>200</v>
      </c>
    </row>
    <row r="134" spans="2:5" s="8" customFormat="1" x14ac:dyDescent="0.25">
      <c r="B134" s="48"/>
      <c r="C134" s="153"/>
      <c r="D134" s="49"/>
      <c r="E134" s="158"/>
    </row>
    <row r="135" spans="2:5" s="8" customFormat="1" ht="60" x14ac:dyDescent="0.25">
      <c r="B135" s="48" t="s">
        <v>447</v>
      </c>
      <c r="C135" s="52" t="s">
        <v>459</v>
      </c>
      <c r="D135" s="49" t="s">
        <v>61</v>
      </c>
      <c r="E135" s="158">
        <v>0.5</v>
      </c>
    </row>
    <row r="136" spans="2:5" s="8" customFormat="1" x14ac:dyDescent="0.25">
      <c r="B136" s="48"/>
      <c r="C136" s="52"/>
      <c r="D136" s="49"/>
      <c r="E136" s="157"/>
    </row>
    <row r="137" spans="2:5" s="8" customFormat="1" ht="15.75" x14ac:dyDescent="0.25">
      <c r="B137" s="188" t="s">
        <v>127</v>
      </c>
      <c r="C137" s="189" t="s">
        <v>91</v>
      </c>
      <c r="D137" s="190"/>
      <c r="E137" s="191"/>
    </row>
    <row r="138" spans="2:5" s="8" customFormat="1" x14ac:dyDescent="0.25">
      <c r="B138" s="48"/>
      <c r="C138" s="52"/>
      <c r="D138" s="49"/>
      <c r="E138" s="157"/>
    </row>
    <row r="139" spans="2:5" s="8" customFormat="1" x14ac:dyDescent="0.25">
      <c r="B139" s="48" t="s">
        <v>70</v>
      </c>
      <c r="C139" s="52" t="s">
        <v>354</v>
      </c>
      <c r="D139" s="49" t="s">
        <v>14</v>
      </c>
      <c r="E139" s="158">
        <v>136</v>
      </c>
    </row>
    <row r="140" spans="2:5" s="8" customFormat="1" x14ac:dyDescent="0.25">
      <c r="B140" s="48"/>
      <c r="C140" s="52" t="s">
        <v>229</v>
      </c>
      <c r="D140" s="49"/>
      <c r="E140" s="158"/>
    </row>
    <row r="141" spans="2:5" s="8" customFormat="1" x14ac:dyDescent="0.25">
      <c r="B141" s="48"/>
      <c r="C141" s="52" t="s">
        <v>228</v>
      </c>
      <c r="D141" s="49"/>
      <c r="E141" s="158"/>
    </row>
    <row r="142" spans="2:5" s="8" customFormat="1" x14ac:dyDescent="0.25">
      <c r="B142" s="48"/>
      <c r="C142" s="52"/>
      <c r="D142" s="49"/>
      <c r="E142" s="158"/>
    </row>
    <row r="143" spans="2:5" s="8" customFormat="1" x14ac:dyDescent="0.25">
      <c r="B143" s="48" t="s">
        <v>72</v>
      </c>
      <c r="C143" s="52" t="s">
        <v>355</v>
      </c>
      <c r="D143" s="49" t="s">
        <v>14</v>
      </c>
      <c r="E143" s="158">
        <f>16*8</f>
        <v>128</v>
      </c>
    </row>
    <row r="144" spans="2:5" s="8" customFormat="1" ht="30" x14ac:dyDescent="0.25">
      <c r="B144" s="48"/>
      <c r="C144" s="52" t="s">
        <v>237</v>
      </c>
      <c r="D144" s="49"/>
      <c r="E144" s="158"/>
    </row>
    <row r="145" spans="2:5" s="8" customFormat="1" x14ac:dyDescent="0.25">
      <c r="B145" s="48"/>
      <c r="C145" s="52" t="s">
        <v>230</v>
      </c>
      <c r="D145" s="49"/>
      <c r="E145" s="158"/>
    </row>
    <row r="146" spans="2:5" s="8" customFormat="1" x14ac:dyDescent="0.25">
      <c r="B146" s="48"/>
      <c r="C146" s="52"/>
      <c r="D146" s="49"/>
      <c r="E146" s="158"/>
    </row>
    <row r="147" spans="2:5" s="8" customFormat="1" x14ac:dyDescent="0.25">
      <c r="B147" s="48" t="s">
        <v>112</v>
      </c>
      <c r="C147" s="52" t="s">
        <v>231</v>
      </c>
      <c r="D147" s="49" t="s">
        <v>14</v>
      </c>
      <c r="E147" s="158">
        <f>31.8*2</f>
        <v>63.6</v>
      </c>
    </row>
    <row r="148" spans="2:5" s="8" customFormat="1" x14ac:dyDescent="0.25">
      <c r="B148" s="48"/>
      <c r="C148" s="52" t="s">
        <v>232</v>
      </c>
      <c r="D148" s="49"/>
      <c r="E148" s="158"/>
    </row>
    <row r="149" spans="2:5" s="8" customFormat="1" x14ac:dyDescent="0.25">
      <c r="B149" s="48"/>
      <c r="C149" s="52"/>
      <c r="D149" s="49"/>
      <c r="E149" s="158"/>
    </row>
    <row r="150" spans="2:5" s="8" customFormat="1" x14ac:dyDescent="0.25">
      <c r="B150" s="48" t="s">
        <v>214</v>
      </c>
      <c r="C150" s="52" t="s">
        <v>233</v>
      </c>
      <c r="D150" s="49" t="s">
        <v>14</v>
      </c>
      <c r="E150" s="158">
        <f>(16+21)*2</f>
        <v>74</v>
      </c>
    </row>
    <row r="151" spans="2:5" s="8" customFormat="1" x14ac:dyDescent="0.25">
      <c r="B151" s="48"/>
      <c r="C151" s="52" t="s">
        <v>234</v>
      </c>
      <c r="D151" s="49"/>
      <c r="E151" s="158"/>
    </row>
    <row r="152" spans="2:5" s="8" customFormat="1" x14ac:dyDescent="0.25">
      <c r="B152" s="48"/>
      <c r="C152" s="52"/>
      <c r="D152" s="49"/>
      <c r="E152" s="158"/>
    </row>
    <row r="153" spans="2:5" s="8" customFormat="1" x14ac:dyDescent="0.25">
      <c r="B153" s="48" t="s">
        <v>215</v>
      </c>
      <c r="C153" s="52" t="s">
        <v>235</v>
      </c>
      <c r="D153" s="49" t="s">
        <v>63</v>
      </c>
      <c r="E153" s="158">
        <f>36*4.5+16*6.3+28.8*7+21*6.3</f>
        <v>596.69999999999993</v>
      </c>
    </row>
    <row r="154" spans="2:5" s="8" customFormat="1" x14ac:dyDescent="0.25">
      <c r="B154" s="48"/>
      <c r="C154" s="52" t="s">
        <v>356</v>
      </c>
      <c r="D154" s="49"/>
      <c r="E154" s="157"/>
    </row>
    <row r="155" spans="2:5" s="8" customFormat="1" x14ac:dyDescent="0.25">
      <c r="B155" s="48"/>
      <c r="C155" s="52" t="s">
        <v>236</v>
      </c>
      <c r="D155" s="49"/>
      <c r="E155" s="157"/>
    </row>
    <row r="156" spans="2:5" s="8" customFormat="1" x14ac:dyDescent="0.25">
      <c r="B156" s="48"/>
      <c r="C156" s="52" t="s">
        <v>357</v>
      </c>
      <c r="D156" s="49"/>
      <c r="E156" s="157"/>
    </row>
    <row r="157" spans="2:5" s="8" customFormat="1" x14ac:dyDescent="0.25">
      <c r="B157" s="48"/>
      <c r="C157" s="52"/>
      <c r="D157" s="49"/>
      <c r="E157" s="157"/>
    </row>
    <row r="158" spans="2:5" s="8" customFormat="1" ht="30" x14ac:dyDescent="0.25">
      <c r="B158" s="76" t="s">
        <v>216</v>
      </c>
      <c r="C158" s="52" t="s">
        <v>432</v>
      </c>
      <c r="D158" s="62" t="s">
        <v>59</v>
      </c>
      <c r="E158" s="158">
        <v>1</v>
      </c>
    </row>
    <row r="159" spans="2:5" s="8" customFormat="1" x14ac:dyDescent="0.25">
      <c r="B159" s="48"/>
      <c r="C159" s="52"/>
      <c r="D159" s="49"/>
      <c r="E159" s="157"/>
    </row>
    <row r="160" spans="2:5" s="8" customFormat="1" ht="60" x14ac:dyDescent="0.25">
      <c r="B160" s="48" t="s">
        <v>219</v>
      </c>
      <c r="C160" s="52" t="s">
        <v>217</v>
      </c>
      <c r="D160" s="62" t="s">
        <v>59</v>
      </c>
      <c r="E160" s="159">
        <v>1</v>
      </c>
    </row>
    <row r="161" spans="2:10" s="8" customFormat="1" ht="30" x14ac:dyDescent="0.25">
      <c r="B161" s="48"/>
      <c r="C161" s="52" t="s">
        <v>358</v>
      </c>
      <c r="D161" s="49"/>
      <c r="E161" s="157"/>
    </row>
    <row r="162" spans="2:10" s="8" customFormat="1" x14ac:dyDescent="0.25">
      <c r="B162" s="48"/>
      <c r="C162" s="52"/>
      <c r="D162" s="49"/>
      <c r="E162" s="157"/>
    </row>
    <row r="163" spans="2:10" s="8" customFormat="1" ht="30" x14ac:dyDescent="0.25">
      <c r="B163" s="76" t="s">
        <v>238</v>
      </c>
      <c r="C163" s="52" t="s">
        <v>218</v>
      </c>
      <c r="D163" s="62" t="s">
        <v>63</v>
      </c>
      <c r="E163" s="176">
        <f>E189/0.15</f>
        <v>393.58000000000004</v>
      </c>
    </row>
    <row r="164" spans="2:10" s="8" customFormat="1" x14ac:dyDescent="0.25">
      <c r="B164" s="48"/>
      <c r="C164" s="52"/>
      <c r="D164" s="49"/>
      <c r="E164" s="157"/>
    </row>
    <row r="165" spans="2:10" s="8" customFormat="1" ht="30" x14ac:dyDescent="0.25">
      <c r="B165" s="48" t="s">
        <v>239</v>
      </c>
      <c r="C165" s="52" t="s">
        <v>240</v>
      </c>
      <c r="D165" s="49" t="s">
        <v>63</v>
      </c>
      <c r="E165" s="157">
        <v>4</v>
      </c>
    </row>
    <row r="166" spans="2:10" s="8" customFormat="1" x14ac:dyDescent="0.25">
      <c r="B166" s="48"/>
      <c r="C166" s="52"/>
      <c r="D166" s="49"/>
      <c r="E166" s="157"/>
      <c r="J166" s="146"/>
    </row>
    <row r="167" spans="2:10" s="8" customFormat="1" ht="51" x14ac:dyDescent="0.25">
      <c r="B167" s="48" t="s">
        <v>370</v>
      </c>
      <c r="C167" s="141" t="s">
        <v>388</v>
      </c>
      <c r="D167" s="49" t="s">
        <v>63</v>
      </c>
      <c r="E167" s="157">
        <f>(21*3.1+15.7*3.15+35.7*2.3)*0.5</f>
        <v>98.33250000000001</v>
      </c>
      <c r="J167" s="146"/>
    </row>
    <row r="168" spans="2:10" s="8" customFormat="1" x14ac:dyDescent="0.25">
      <c r="B168" s="48"/>
      <c r="C168" s="142" t="s">
        <v>389</v>
      </c>
      <c r="D168" s="49"/>
      <c r="E168" s="157"/>
      <c r="J168" s="146"/>
    </row>
    <row r="169" spans="2:10" s="8" customFormat="1" x14ac:dyDescent="0.25">
      <c r="B169" s="48"/>
      <c r="C169" s="142" t="s">
        <v>394</v>
      </c>
      <c r="D169" s="49"/>
      <c r="E169" s="157"/>
      <c r="J169" s="146"/>
    </row>
    <row r="170" spans="2:10" s="8" customFormat="1" x14ac:dyDescent="0.25">
      <c r="B170" s="48"/>
      <c r="C170" s="143" t="s">
        <v>390</v>
      </c>
      <c r="D170" s="49"/>
      <c r="E170" s="157"/>
      <c r="J170" s="146"/>
    </row>
    <row r="171" spans="2:10" s="8" customFormat="1" x14ac:dyDescent="0.25">
      <c r="B171" s="48"/>
      <c r="C171" s="142"/>
      <c r="D171" s="49"/>
      <c r="E171" s="157"/>
      <c r="J171" s="146"/>
    </row>
    <row r="172" spans="2:10" s="8" customFormat="1" x14ac:dyDescent="0.25">
      <c r="B172" s="48" t="s">
        <v>371</v>
      </c>
      <c r="C172" s="144" t="s">
        <v>391</v>
      </c>
      <c r="D172" s="49" t="s">
        <v>63</v>
      </c>
      <c r="E172" s="157">
        <f>21*3.1+15.7*3.15+35.7*2.3</f>
        <v>196.66500000000002</v>
      </c>
      <c r="J172" s="146"/>
    </row>
    <row r="173" spans="2:10" s="8" customFormat="1" x14ac:dyDescent="0.25">
      <c r="B173" s="48"/>
      <c r="C173" s="142" t="s">
        <v>389</v>
      </c>
      <c r="D173" s="49"/>
      <c r="E173" s="157"/>
      <c r="J173" s="146"/>
    </row>
    <row r="174" spans="2:10" s="8" customFormat="1" x14ac:dyDescent="0.25">
      <c r="B174" s="48"/>
      <c r="C174" s="142" t="s">
        <v>394</v>
      </c>
      <c r="D174" s="49"/>
      <c r="E174" s="157"/>
      <c r="J174" s="146"/>
    </row>
    <row r="175" spans="2:10" s="8" customFormat="1" x14ac:dyDescent="0.25">
      <c r="B175" s="48"/>
      <c r="C175" s="142"/>
      <c r="D175" s="49"/>
      <c r="E175" s="157"/>
      <c r="J175" s="146"/>
    </row>
    <row r="176" spans="2:10" s="8" customFormat="1" x14ac:dyDescent="0.25">
      <c r="B176" s="48" t="s">
        <v>386</v>
      </c>
      <c r="C176" s="145" t="s">
        <v>392</v>
      </c>
      <c r="D176" s="49" t="s">
        <v>61</v>
      </c>
      <c r="E176" s="157">
        <f>E172*0.4*0.5</f>
        <v>39.333000000000006</v>
      </c>
      <c r="J176" s="146"/>
    </row>
    <row r="177" spans="2:10" s="8" customFormat="1" x14ac:dyDescent="0.25">
      <c r="B177" s="48"/>
      <c r="C177" s="142" t="s">
        <v>395</v>
      </c>
      <c r="D177" s="49"/>
      <c r="E177" s="157"/>
      <c r="J177" s="146"/>
    </row>
    <row r="178" spans="2:10" s="8" customFormat="1" x14ac:dyDescent="0.25">
      <c r="B178" s="48"/>
      <c r="C178" s="52"/>
      <c r="D178" s="49"/>
      <c r="E178" s="157"/>
      <c r="J178" s="146"/>
    </row>
    <row r="179" spans="2:10" s="8" customFormat="1" x14ac:dyDescent="0.25">
      <c r="B179" s="48"/>
      <c r="C179" s="52"/>
      <c r="D179" s="49"/>
      <c r="E179" s="157"/>
      <c r="J179" s="147"/>
    </row>
    <row r="180" spans="2:10" s="8" customFormat="1" x14ac:dyDescent="0.25">
      <c r="B180" s="48" t="s">
        <v>393</v>
      </c>
      <c r="C180" s="153" t="s">
        <v>396</v>
      </c>
      <c r="D180" s="49" t="s">
        <v>64</v>
      </c>
      <c r="E180" s="157">
        <v>23</v>
      </c>
      <c r="J180" s="148"/>
    </row>
    <row r="181" spans="2:10" s="8" customFormat="1" x14ac:dyDescent="0.25">
      <c r="B181" s="48"/>
      <c r="C181" s="52" t="s">
        <v>387</v>
      </c>
      <c r="D181" s="49"/>
      <c r="E181" s="157"/>
      <c r="J181" s="148"/>
    </row>
    <row r="182" spans="2:10" s="8" customFormat="1" x14ac:dyDescent="0.25">
      <c r="B182" s="48"/>
      <c r="C182" s="52"/>
      <c r="D182" s="49"/>
      <c r="E182" s="157"/>
      <c r="J182" s="148"/>
    </row>
    <row r="183" spans="2:10" s="8" customFormat="1" x14ac:dyDescent="0.25">
      <c r="B183" s="48" t="s">
        <v>428</v>
      </c>
      <c r="C183" s="52" t="s">
        <v>429</v>
      </c>
      <c r="D183" s="49" t="s">
        <v>14</v>
      </c>
      <c r="E183" s="157">
        <f>21+16+36</f>
        <v>73</v>
      </c>
      <c r="J183" s="148"/>
    </row>
    <row r="184" spans="2:10" s="8" customFormat="1" ht="30" x14ac:dyDescent="0.25">
      <c r="B184" s="48"/>
      <c r="C184" s="52" t="s">
        <v>430</v>
      </c>
      <c r="D184" s="49"/>
      <c r="E184" s="157"/>
      <c r="J184" s="148"/>
    </row>
    <row r="185" spans="2:10" s="8" customFormat="1" x14ac:dyDescent="0.25">
      <c r="B185" s="48"/>
      <c r="C185" s="52"/>
      <c r="D185" s="49"/>
      <c r="E185" s="157"/>
      <c r="J185" s="148"/>
    </row>
    <row r="186" spans="2:10" s="8" customFormat="1" ht="30" x14ac:dyDescent="0.25">
      <c r="B186" s="48" t="s">
        <v>435</v>
      </c>
      <c r="C186" s="52" t="s">
        <v>436</v>
      </c>
      <c r="D186" s="49" t="s">
        <v>59</v>
      </c>
      <c r="E186" s="157">
        <v>1</v>
      </c>
      <c r="J186" s="148"/>
    </row>
    <row r="187" spans="2:10" s="8" customFormat="1" ht="15" customHeight="1" x14ac:dyDescent="0.25">
      <c r="B187" s="48"/>
      <c r="C187" s="51"/>
      <c r="D187" s="49"/>
      <c r="E187" s="157"/>
      <c r="J187" s="148"/>
    </row>
    <row r="188" spans="2:10" s="8" customFormat="1" x14ac:dyDescent="0.25">
      <c r="B188" s="192" t="s">
        <v>461</v>
      </c>
      <c r="C188" s="193" t="s">
        <v>9</v>
      </c>
      <c r="D188" s="194"/>
      <c r="E188" s="195"/>
      <c r="J188" s="149"/>
    </row>
    <row r="189" spans="2:10" s="8" customFormat="1" ht="17.25" x14ac:dyDescent="0.25">
      <c r="B189" s="48" t="s">
        <v>89</v>
      </c>
      <c r="C189" s="51" t="s">
        <v>71</v>
      </c>
      <c r="D189" s="49" t="s">
        <v>11</v>
      </c>
      <c r="E189" s="85">
        <f>SO_03_KL_8!J102*1.1</f>
        <v>59.037000000000006</v>
      </c>
      <c r="J189" s="148"/>
    </row>
    <row r="190" spans="2:10" s="8" customFormat="1" x14ac:dyDescent="0.25">
      <c r="B190" s="48"/>
      <c r="C190" s="50" t="s">
        <v>361</v>
      </c>
      <c r="D190" s="50"/>
      <c r="E190" s="78"/>
    </row>
    <row r="191" spans="2:10" s="8" customFormat="1" x14ac:dyDescent="0.25">
      <c r="B191" s="48"/>
      <c r="C191" s="51"/>
      <c r="D191" s="50"/>
      <c r="E191" s="82"/>
    </row>
    <row r="192" spans="2:10" s="8" customFormat="1" ht="17.25" x14ac:dyDescent="0.25">
      <c r="B192" s="48" t="s">
        <v>90</v>
      </c>
      <c r="C192" s="51" t="s">
        <v>73</v>
      </c>
      <c r="D192" s="49" t="s">
        <v>11</v>
      </c>
      <c r="E192" s="85">
        <f>SO_03_KL_8!J85*1.05</f>
        <v>631.124865</v>
      </c>
    </row>
    <row r="193" spans="2:5" s="8" customFormat="1" x14ac:dyDescent="0.25">
      <c r="B193" s="48"/>
      <c r="C193" s="50" t="s">
        <v>362</v>
      </c>
      <c r="D193" s="50"/>
      <c r="E193" s="82"/>
    </row>
    <row r="194" spans="2:5" s="8" customFormat="1" ht="15" customHeight="1" x14ac:dyDescent="0.25">
      <c r="B194" s="154"/>
      <c r="C194" s="155"/>
      <c r="D194" s="155"/>
      <c r="E194" s="86"/>
    </row>
    <row r="195" spans="2:5" s="8" customFormat="1" ht="15" customHeight="1" x14ac:dyDescent="0.25">
      <c r="B195" s="48" t="s">
        <v>115</v>
      </c>
      <c r="C195" s="79" t="s">
        <v>184</v>
      </c>
      <c r="D195" s="49" t="s">
        <v>363</v>
      </c>
      <c r="E195" s="83">
        <f>E192*120/1000</f>
        <v>75.734983799999995</v>
      </c>
    </row>
    <row r="196" spans="2:5" s="8" customFormat="1" ht="15" customHeight="1" x14ac:dyDescent="0.25">
      <c r="B196" s="76"/>
      <c r="C196" s="52" t="s">
        <v>364</v>
      </c>
      <c r="D196" s="49"/>
      <c r="E196" s="83"/>
    </row>
    <row r="197" spans="2:5" s="8" customFormat="1" ht="15" customHeight="1" x14ac:dyDescent="0.25">
      <c r="B197" s="154"/>
      <c r="C197" s="155"/>
      <c r="D197" s="53"/>
      <c r="E197" s="65"/>
    </row>
    <row r="198" spans="2:5" s="8" customFormat="1" ht="15" customHeight="1" x14ac:dyDescent="0.25">
      <c r="B198" s="48" t="s">
        <v>116</v>
      </c>
      <c r="C198" s="51" t="s">
        <v>10</v>
      </c>
      <c r="D198" s="49" t="s">
        <v>12</v>
      </c>
      <c r="E198" s="85">
        <f>E199+E201+E202+E204+E206</f>
        <v>960.43824999999981</v>
      </c>
    </row>
    <row r="199" spans="2:5" s="8" customFormat="1" ht="15" customHeight="1" x14ac:dyDescent="0.25">
      <c r="B199" s="48"/>
      <c r="C199" s="50" t="s">
        <v>27</v>
      </c>
      <c r="D199" s="62"/>
      <c r="E199" s="78">
        <f>SO_03_KL_7!G39</f>
        <v>839.70824999999991</v>
      </c>
    </row>
    <row r="200" spans="2:5" s="8" customFormat="1" ht="15" customHeight="1" x14ac:dyDescent="0.25">
      <c r="B200" s="48"/>
      <c r="C200" s="50" t="s">
        <v>182</v>
      </c>
      <c r="D200" s="62"/>
      <c r="E200" s="78"/>
    </row>
    <row r="201" spans="2:5" s="8" customFormat="1" ht="15" customHeight="1" x14ac:dyDescent="0.25">
      <c r="B201" s="48"/>
      <c r="C201" s="52" t="s">
        <v>203</v>
      </c>
      <c r="D201" s="62"/>
      <c r="E201" s="78">
        <f>5*6.15+3*4.35+7*2.18</f>
        <v>59.06</v>
      </c>
    </row>
    <row r="202" spans="2:5" s="8" customFormat="1" ht="15" customHeight="1" x14ac:dyDescent="0.25">
      <c r="B202" s="48"/>
      <c r="C202" s="50" t="s">
        <v>369</v>
      </c>
      <c r="D202" s="62"/>
      <c r="E202" s="78">
        <f>3*6.48+3*4.05+3*0.8</f>
        <v>33.99</v>
      </c>
    </row>
    <row r="203" spans="2:5" s="8" customFormat="1" ht="15" customHeight="1" x14ac:dyDescent="0.25">
      <c r="B203" s="48"/>
      <c r="C203" s="50" t="s">
        <v>201</v>
      </c>
      <c r="D203" s="62"/>
      <c r="E203" s="78"/>
    </row>
    <row r="204" spans="2:5" s="8" customFormat="1" ht="15" customHeight="1" x14ac:dyDescent="0.25">
      <c r="B204" s="48"/>
      <c r="C204" s="50" t="s">
        <v>204</v>
      </c>
      <c r="D204" s="62"/>
      <c r="E204" s="78">
        <f>(4.6+3.7+3.4)*0.2*2</f>
        <v>4.6800000000000006</v>
      </c>
    </row>
    <row r="205" spans="2:5" s="8" customFormat="1" ht="15" customHeight="1" x14ac:dyDescent="0.25">
      <c r="B205" s="48"/>
      <c r="C205" s="50" t="s">
        <v>185</v>
      </c>
      <c r="D205" s="62"/>
      <c r="E205" s="78"/>
    </row>
    <row r="206" spans="2:5" s="8" customFormat="1" ht="15" customHeight="1" x14ac:dyDescent="0.25">
      <c r="B206" s="48"/>
      <c r="C206" s="50" t="s">
        <v>205</v>
      </c>
      <c r="D206" s="62"/>
      <c r="E206" s="78">
        <f>4*2*2.5+2*0.6*2.5</f>
        <v>23</v>
      </c>
    </row>
    <row r="207" spans="2:5" s="8" customFormat="1" ht="15" customHeight="1" x14ac:dyDescent="0.25">
      <c r="B207" s="48"/>
      <c r="C207" s="50"/>
      <c r="D207" s="62"/>
      <c r="E207" s="78"/>
    </row>
    <row r="208" spans="2:5" s="8" customFormat="1" ht="15" customHeight="1" x14ac:dyDescent="0.25">
      <c r="B208" s="48" t="s">
        <v>117</v>
      </c>
      <c r="C208" s="51" t="s">
        <v>13</v>
      </c>
      <c r="D208" s="49" t="s">
        <v>12</v>
      </c>
      <c r="E208" s="85">
        <f>E209</f>
        <v>46.33</v>
      </c>
    </row>
    <row r="209" spans="2:6" s="8" customFormat="1" x14ac:dyDescent="0.25">
      <c r="B209" s="48"/>
      <c r="C209" s="50" t="s">
        <v>27</v>
      </c>
      <c r="D209" s="49"/>
      <c r="E209" s="78">
        <f>SO_03_KL_7!J39</f>
        <v>46.33</v>
      </c>
    </row>
    <row r="210" spans="2:6" s="8" customFormat="1" x14ac:dyDescent="0.25">
      <c r="B210" s="48"/>
      <c r="C210" s="50"/>
      <c r="D210" s="49"/>
      <c r="E210" s="78"/>
    </row>
    <row r="211" spans="2:6" s="8" customFormat="1" x14ac:dyDescent="0.25">
      <c r="B211" s="48" t="s">
        <v>118</v>
      </c>
      <c r="C211" s="51" t="s">
        <v>74</v>
      </c>
      <c r="D211" s="49" t="s">
        <v>63</v>
      </c>
      <c r="E211" s="85">
        <f>E212+E213</f>
        <v>599.41649999999993</v>
      </c>
    </row>
    <row r="212" spans="2:6" s="8" customFormat="1" x14ac:dyDescent="0.25">
      <c r="B212" s="48"/>
      <c r="C212" s="50" t="s">
        <v>27</v>
      </c>
      <c r="D212" s="49"/>
      <c r="E212" s="78">
        <f>SO_03_KL_7!M39</f>
        <v>579.41649999999993</v>
      </c>
    </row>
    <row r="213" spans="2:6" s="8" customFormat="1" x14ac:dyDescent="0.25">
      <c r="B213" s="48"/>
      <c r="C213" s="50" t="s">
        <v>206</v>
      </c>
      <c r="D213" s="49"/>
      <c r="E213" s="78">
        <f>4*2*2.5</f>
        <v>20</v>
      </c>
    </row>
    <row r="214" spans="2:6" s="8" customFormat="1" x14ac:dyDescent="0.25">
      <c r="B214" s="48"/>
      <c r="C214" s="50"/>
      <c r="D214" s="49"/>
      <c r="E214" s="78"/>
    </row>
    <row r="215" spans="2:6" s="8" customFormat="1" ht="45" x14ac:dyDescent="0.25">
      <c r="B215" s="48" t="s">
        <v>119</v>
      </c>
      <c r="C215" s="52" t="s">
        <v>365</v>
      </c>
      <c r="D215" s="49" t="s">
        <v>63</v>
      </c>
      <c r="E215" s="78">
        <v>20</v>
      </c>
    </row>
    <row r="216" spans="2:6" s="8" customFormat="1" x14ac:dyDescent="0.25">
      <c r="B216" s="154"/>
      <c r="C216" s="155"/>
      <c r="D216" s="156"/>
      <c r="E216" s="65"/>
    </row>
    <row r="217" spans="2:6" s="8" customFormat="1" x14ac:dyDescent="0.25">
      <c r="B217" s="76" t="s">
        <v>120</v>
      </c>
      <c r="C217" s="51" t="s">
        <v>158</v>
      </c>
      <c r="D217" s="62" t="s">
        <v>61</v>
      </c>
      <c r="E217" s="78">
        <f>2*2*2.2*0.3</f>
        <v>2.64</v>
      </c>
      <c r="F217" s="84"/>
    </row>
    <row r="218" spans="2:6" s="8" customFormat="1" ht="15" customHeight="1" x14ac:dyDescent="0.25">
      <c r="B218" s="76"/>
      <c r="C218" s="50" t="s">
        <v>448</v>
      </c>
      <c r="D218" s="62"/>
      <c r="E218" s="78"/>
      <c r="F218" s="84"/>
    </row>
    <row r="219" spans="2:6" s="8" customFormat="1" ht="15" customHeight="1" x14ac:dyDescent="0.25">
      <c r="B219" s="76"/>
      <c r="C219" s="50" t="s">
        <v>410</v>
      </c>
      <c r="D219" s="62"/>
      <c r="E219" s="78"/>
      <c r="F219" s="84"/>
    </row>
    <row r="220" spans="2:6" s="8" customFormat="1" ht="15" customHeight="1" x14ac:dyDescent="0.25">
      <c r="B220" s="76"/>
      <c r="C220" s="50"/>
      <c r="D220" s="62"/>
      <c r="E220" s="78"/>
      <c r="F220" s="84"/>
    </row>
    <row r="221" spans="2:6" s="8" customFormat="1" ht="15" customHeight="1" x14ac:dyDescent="0.25">
      <c r="B221" s="76" t="s">
        <v>121</v>
      </c>
      <c r="C221" s="52" t="s">
        <v>208</v>
      </c>
      <c r="D221" s="62" t="s">
        <v>64</v>
      </c>
      <c r="E221" s="78">
        <v>1</v>
      </c>
      <c r="F221" s="84"/>
    </row>
    <row r="222" spans="2:6" s="8" customFormat="1" ht="15" customHeight="1" x14ac:dyDescent="0.25">
      <c r="B222" s="76"/>
      <c r="C222" s="50" t="s">
        <v>207</v>
      </c>
      <c r="D222" s="62"/>
      <c r="E222" s="78"/>
      <c r="F222" s="84"/>
    </row>
    <row r="223" spans="2:6" s="8" customFormat="1" ht="15" customHeight="1" x14ac:dyDescent="0.25">
      <c r="B223" s="76"/>
      <c r="C223" s="50"/>
      <c r="D223" s="62"/>
      <c r="E223" s="78"/>
      <c r="F223" s="84"/>
    </row>
    <row r="224" spans="2:6" s="8" customFormat="1" ht="45.75" customHeight="1" x14ac:dyDescent="0.25">
      <c r="B224" s="76" t="s">
        <v>122</v>
      </c>
      <c r="C224" s="52" t="s">
        <v>366</v>
      </c>
      <c r="D224" s="62" t="s">
        <v>64</v>
      </c>
      <c r="E224" s="78">
        <f>12*2</f>
        <v>24</v>
      </c>
      <c r="F224" s="84"/>
    </row>
    <row r="225" spans="2:6" s="8" customFormat="1" ht="15" customHeight="1" x14ac:dyDescent="0.25">
      <c r="B225" s="76"/>
      <c r="C225" s="50" t="s">
        <v>411</v>
      </c>
      <c r="D225" s="62"/>
      <c r="E225" s="78"/>
      <c r="F225" s="84"/>
    </row>
    <row r="226" spans="2:6" s="8" customFormat="1" ht="15" customHeight="1" x14ac:dyDescent="0.25">
      <c r="B226" s="76"/>
      <c r="C226" s="50"/>
      <c r="D226" s="62"/>
      <c r="E226" s="78"/>
      <c r="F226" s="84"/>
    </row>
    <row r="227" spans="2:6" ht="90" x14ac:dyDescent="0.25">
      <c r="B227" s="100" t="s">
        <v>123</v>
      </c>
      <c r="C227" s="98" t="s">
        <v>442</v>
      </c>
      <c r="D227" s="140" t="s">
        <v>64</v>
      </c>
      <c r="E227" s="160">
        <v>7</v>
      </c>
    </row>
    <row r="228" spans="2:6" ht="30" x14ac:dyDescent="0.25">
      <c r="B228" s="101"/>
      <c r="C228" s="98" t="s">
        <v>367</v>
      </c>
      <c r="D228" s="99"/>
      <c r="E228" s="160"/>
    </row>
    <row r="229" spans="2:6" x14ac:dyDescent="0.25">
      <c r="B229" s="101"/>
      <c r="C229" s="98"/>
      <c r="D229" s="99"/>
      <c r="E229" s="160"/>
    </row>
    <row r="230" spans="2:6" x14ac:dyDescent="0.25">
      <c r="B230" s="100" t="s">
        <v>224</v>
      </c>
      <c r="C230" s="98" t="s">
        <v>251</v>
      </c>
      <c r="D230" s="99" t="s">
        <v>63</v>
      </c>
      <c r="E230" s="161">
        <f>SO_03_KL_8!I121</f>
        <v>90.75</v>
      </c>
    </row>
    <row r="231" spans="2:6" x14ac:dyDescent="0.25">
      <c r="B231" s="101"/>
      <c r="C231" s="52" t="s">
        <v>368</v>
      </c>
      <c r="D231" s="99"/>
      <c r="E231" s="160"/>
    </row>
    <row r="232" spans="2:6" x14ac:dyDescent="0.25">
      <c r="B232" s="101"/>
      <c r="C232" s="50"/>
      <c r="D232" s="99"/>
      <c r="E232" s="160"/>
    </row>
    <row r="233" spans="2:6" ht="30" x14ac:dyDescent="0.25">
      <c r="B233" s="100" t="s">
        <v>124</v>
      </c>
      <c r="C233" s="52" t="s">
        <v>227</v>
      </c>
      <c r="D233" s="99" t="s">
        <v>14</v>
      </c>
      <c r="E233" s="161">
        <f>(5*6.6+3*5.4+7*3.9+3*5.6+3*3.8)*1.05</f>
        <v>109.93499999999999</v>
      </c>
    </row>
    <row r="234" spans="2:6" x14ac:dyDescent="0.25">
      <c r="B234" s="101"/>
      <c r="C234" s="52" t="s">
        <v>225</v>
      </c>
      <c r="D234" s="99"/>
      <c r="E234" s="160"/>
    </row>
    <row r="235" spans="2:6" x14ac:dyDescent="0.25">
      <c r="B235" s="76"/>
      <c r="C235" s="50" t="s">
        <v>226</v>
      </c>
      <c r="D235" s="162"/>
      <c r="E235" s="82"/>
    </row>
    <row r="236" spans="2:6" x14ac:dyDescent="0.25">
      <c r="B236" s="76"/>
      <c r="C236" s="50"/>
      <c r="D236" s="162"/>
      <c r="E236" s="82"/>
    </row>
    <row r="237" spans="2:6" ht="225" x14ac:dyDescent="0.25">
      <c r="B237" s="76" t="s">
        <v>125</v>
      </c>
      <c r="C237" s="52" t="s">
        <v>397</v>
      </c>
      <c r="D237" s="62" t="s">
        <v>63</v>
      </c>
      <c r="E237" s="82">
        <v>13</v>
      </c>
    </row>
    <row r="238" spans="2:6" x14ac:dyDescent="0.25">
      <c r="B238" s="76"/>
      <c r="C238" s="50"/>
      <c r="D238" s="162"/>
      <c r="E238" s="82"/>
    </row>
    <row r="239" spans="2:6" ht="30" x14ac:dyDescent="0.25">
      <c r="B239" s="76" t="s">
        <v>126</v>
      </c>
      <c r="C239" s="52" t="s">
        <v>382</v>
      </c>
      <c r="D239" s="162" t="s">
        <v>64</v>
      </c>
      <c r="E239" s="82">
        <v>6</v>
      </c>
    </row>
    <row r="240" spans="2:6" x14ac:dyDescent="0.25">
      <c r="B240" s="76"/>
      <c r="C240" s="50" t="s">
        <v>383</v>
      </c>
      <c r="D240" s="162"/>
      <c r="E240" s="82"/>
    </row>
    <row r="241" spans="1:5" x14ac:dyDescent="0.25">
      <c r="B241" s="76"/>
      <c r="C241" s="50"/>
      <c r="D241" s="162"/>
      <c r="E241" s="82"/>
    </row>
    <row r="242" spans="1:5" ht="106.5" customHeight="1" x14ac:dyDescent="0.25">
      <c r="B242" s="76" t="s">
        <v>384</v>
      </c>
      <c r="C242" s="52" t="s">
        <v>385</v>
      </c>
      <c r="D242" s="62" t="s">
        <v>63</v>
      </c>
      <c r="E242" s="82">
        <v>9</v>
      </c>
    </row>
    <row r="243" spans="1:5" x14ac:dyDescent="0.25">
      <c r="B243" s="76"/>
      <c r="C243" s="50"/>
      <c r="D243" s="162"/>
      <c r="E243" s="82"/>
    </row>
    <row r="244" spans="1:5" ht="30" x14ac:dyDescent="0.25">
      <c r="B244" s="76" t="s">
        <v>439</v>
      </c>
      <c r="C244" s="52" t="s">
        <v>449</v>
      </c>
      <c r="D244" s="62" t="s">
        <v>63</v>
      </c>
      <c r="E244" s="78">
        <f>1.5*12*1.1</f>
        <v>19.8</v>
      </c>
    </row>
    <row r="245" spans="1:5" x14ac:dyDescent="0.25">
      <c r="B245" s="76"/>
      <c r="C245" s="50" t="s">
        <v>444</v>
      </c>
      <c r="D245" s="162"/>
      <c r="E245" s="82"/>
    </row>
    <row r="246" spans="1:5" x14ac:dyDescent="0.25">
      <c r="B246" s="76"/>
      <c r="C246" s="50"/>
      <c r="D246" s="162"/>
      <c r="E246" s="82"/>
    </row>
    <row r="247" spans="1:5" ht="30" x14ac:dyDescent="0.25">
      <c r="B247" s="76" t="s">
        <v>454</v>
      </c>
      <c r="C247" s="52" t="s">
        <v>455</v>
      </c>
      <c r="D247" s="62" t="s">
        <v>63</v>
      </c>
      <c r="E247" s="82">
        <v>0.5</v>
      </c>
    </row>
    <row r="248" spans="1:5" x14ac:dyDescent="0.25">
      <c r="B248" s="76"/>
      <c r="C248" s="50"/>
      <c r="D248" s="162"/>
      <c r="E248" s="82"/>
    </row>
    <row r="249" spans="1:5" x14ac:dyDescent="0.25">
      <c r="A249" s="84"/>
      <c r="B249" s="192" t="s">
        <v>128</v>
      </c>
      <c r="C249" s="193" t="s">
        <v>167</v>
      </c>
      <c r="D249" s="196"/>
      <c r="E249" s="197"/>
    </row>
    <row r="250" spans="1:5" x14ac:dyDescent="0.25">
      <c r="A250" s="84"/>
      <c r="B250" s="76"/>
      <c r="C250" s="50"/>
      <c r="D250" s="162"/>
      <c r="E250" s="82"/>
    </row>
    <row r="251" spans="1:5" x14ac:dyDescent="0.25">
      <c r="A251" s="84"/>
      <c r="B251" s="76" t="s">
        <v>92</v>
      </c>
      <c r="C251" s="50" t="s">
        <v>183</v>
      </c>
      <c r="D251" s="162" t="s">
        <v>64</v>
      </c>
      <c r="E251" s="82">
        <f>84*9</f>
        <v>756</v>
      </c>
    </row>
    <row r="252" spans="1:5" ht="45" x14ac:dyDescent="0.25">
      <c r="A252" s="84"/>
      <c r="B252" s="76"/>
      <c r="C252" s="163" t="s">
        <v>456</v>
      </c>
      <c r="D252" s="162"/>
      <c r="E252" s="82"/>
    </row>
    <row r="253" spans="1:5" x14ac:dyDescent="0.25">
      <c r="B253" s="76"/>
      <c r="C253" s="50"/>
      <c r="D253" s="162"/>
      <c r="E253" s="82"/>
    </row>
    <row r="254" spans="1:5" ht="30" x14ac:dyDescent="0.25">
      <c r="B254" s="76" t="s">
        <v>93</v>
      </c>
      <c r="C254" s="52" t="s">
        <v>372</v>
      </c>
      <c r="D254" s="62" t="s">
        <v>64</v>
      </c>
      <c r="E254" s="82">
        <v>1</v>
      </c>
    </row>
    <row r="255" spans="1:5" x14ac:dyDescent="0.25">
      <c r="B255" s="76"/>
      <c r="C255" s="50"/>
      <c r="D255" s="62"/>
      <c r="E255" s="82"/>
    </row>
    <row r="256" spans="1:5" ht="60" x14ac:dyDescent="0.25">
      <c r="B256" s="76" t="s">
        <v>94</v>
      </c>
      <c r="C256" s="52" t="s">
        <v>380</v>
      </c>
      <c r="D256" s="62" t="s">
        <v>64</v>
      </c>
      <c r="E256" s="82">
        <v>7</v>
      </c>
    </row>
    <row r="257" spans="2:5" ht="30" x14ac:dyDescent="0.25">
      <c r="B257" s="76"/>
      <c r="C257" s="52" t="s">
        <v>209</v>
      </c>
      <c r="D257" s="62"/>
      <c r="E257" s="82"/>
    </row>
    <row r="258" spans="2:5" x14ac:dyDescent="0.25">
      <c r="B258" s="164"/>
      <c r="C258" s="143"/>
      <c r="D258" s="165"/>
      <c r="E258" s="166"/>
    </row>
    <row r="259" spans="2:5" ht="33" customHeight="1" x14ac:dyDescent="0.25">
      <c r="B259" s="164" t="s">
        <v>193</v>
      </c>
      <c r="C259" s="102" t="s">
        <v>379</v>
      </c>
      <c r="D259" s="165" t="s">
        <v>14</v>
      </c>
      <c r="E259" s="166">
        <v>15</v>
      </c>
    </row>
    <row r="260" spans="2:5" x14ac:dyDescent="0.25">
      <c r="B260" s="164"/>
      <c r="C260" s="143" t="s">
        <v>376</v>
      </c>
      <c r="D260" s="165"/>
      <c r="E260" s="167"/>
    </row>
    <row r="261" spans="2:5" x14ac:dyDescent="0.25">
      <c r="B261" s="164"/>
      <c r="C261" s="143"/>
      <c r="D261" s="165"/>
      <c r="E261" s="167"/>
    </row>
    <row r="262" spans="2:5" x14ac:dyDescent="0.25">
      <c r="B262" s="164" t="s">
        <v>95</v>
      </c>
      <c r="C262" s="143" t="s">
        <v>373</v>
      </c>
      <c r="D262" s="59" t="s">
        <v>64</v>
      </c>
      <c r="E262" s="166">
        <v>5</v>
      </c>
    </row>
    <row r="263" spans="2:5" ht="30" x14ac:dyDescent="0.25">
      <c r="B263" s="164"/>
      <c r="C263" s="102" t="s">
        <v>374</v>
      </c>
      <c r="D263" s="59"/>
      <c r="E263" s="166"/>
    </row>
    <row r="264" spans="2:5" x14ac:dyDescent="0.25">
      <c r="B264" s="164"/>
      <c r="C264" s="143"/>
      <c r="D264" s="59"/>
      <c r="E264" s="166"/>
    </row>
    <row r="265" spans="2:5" x14ac:dyDescent="0.25">
      <c r="B265" s="164" t="s">
        <v>194</v>
      </c>
      <c r="C265" s="143" t="s">
        <v>375</v>
      </c>
      <c r="D265" s="59" t="s">
        <v>64</v>
      </c>
      <c r="E265" s="166">
        <v>5</v>
      </c>
    </row>
    <row r="266" spans="2:5" x14ac:dyDescent="0.25">
      <c r="B266" s="164"/>
      <c r="C266" s="143"/>
      <c r="D266" s="59"/>
      <c r="E266" s="166"/>
    </row>
    <row r="267" spans="2:5" x14ac:dyDescent="0.25">
      <c r="B267" s="164" t="s">
        <v>195</v>
      </c>
      <c r="C267" s="143" t="s">
        <v>377</v>
      </c>
      <c r="D267" s="59" t="s">
        <v>64</v>
      </c>
      <c r="E267" s="166">
        <v>5</v>
      </c>
    </row>
    <row r="268" spans="2:5" x14ac:dyDescent="0.25">
      <c r="B268" s="164"/>
      <c r="C268" s="143"/>
      <c r="D268" s="59"/>
      <c r="E268" s="166"/>
    </row>
    <row r="269" spans="2:5" ht="45" x14ac:dyDescent="0.25">
      <c r="B269" s="164" t="s">
        <v>96</v>
      </c>
      <c r="C269" s="102" t="s">
        <v>381</v>
      </c>
      <c r="D269" s="59" t="s">
        <v>14</v>
      </c>
      <c r="E269" s="166">
        <f>5*7</f>
        <v>35</v>
      </c>
    </row>
    <row r="270" spans="2:5" x14ac:dyDescent="0.25">
      <c r="B270" s="164"/>
      <c r="C270" s="143" t="s">
        <v>378</v>
      </c>
      <c r="D270" s="59"/>
      <c r="E270" s="166"/>
    </row>
    <row r="271" spans="2:5" x14ac:dyDescent="0.25">
      <c r="B271" s="164"/>
      <c r="C271" s="143"/>
      <c r="D271" s="59"/>
      <c r="E271" s="166"/>
    </row>
    <row r="272" spans="2:5" ht="45" x14ac:dyDescent="0.25">
      <c r="B272" s="164" t="s">
        <v>440</v>
      </c>
      <c r="C272" s="102" t="s">
        <v>441</v>
      </c>
      <c r="D272" s="59" t="s">
        <v>59</v>
      </c>
      <c r="E272" s="166">
        <v>1</v>
      </c>
    </row>
    <row r="273" spans="1:7" x14ac:dyDescent="0.25">
      <c r="B273" s="164"/>
      <c r="C273" s="143"/>
      <c r="D273" s="165"/>
      <c r="E273" s="167"/>
    </row>
    <row r="274" spans="1:7" x14ac:dyDescent="0.25">
      <c r="B274" s="199" t="s">
        <v>242</v>
      </c>
      <c r="C274" s="198" t="s">
        <v>426</v>
      </c>
      <c r="D274" s="200"/>
      <c r="E274" s="201"/>
      <c r="G274" s="8"/>
    </row>
    <row r="275" spans="1:7" x14ac:dyDescent="0.25">
      <c r="B275" s="164"/>
      <c r="C275" s="102"/>
      <c r="D275" s="59"/>
      <c r="E275" s="166"/>
    </row>
    <row r="276" spans="1:7" ht="30" x14ac:dyDescent="0.25">
      <c r="B276" s="164" t="s">
        <v>97</v>
      </c>
      <c r="C276" s="102" t="s">
        <v>450</v>
      </c>
      <c r="D276" s="49" t="s">
        <v>12</v>
      </c>
      <c r="E276" s="166">
        <v>5</v>
      </c>
    </row>
    <row r="277" spans="1:7" x14ac:dyDescent="0.25">
      <c r="B277" s="164"/>
      <c r="C277" s="102"/>
      <c r="D277" s="59"/>
      <c r="E277" s="166"/>
    </row>
    <row r="278" spans="1:7" ht="17.25" x14ac:dyDescent="0.25">
      <c r="A278" s="152"/>
      <c r="B278" s="164" t="s">
        <v>99</v>
      </c>
      <c r="C278" s="102" t="s">
        <v>243</v>
      </c>
      <c r="D278" s="49" t="s">
        <v>12</v>
      </c>
      <c r="E278" s="166">
        <v>3</v>
      </c>
    </row>
    <row r="279" spans="1:7" x14ac:dyDescent="0.25">
      <c r="A279" s="152"/>
      <c r="B279" s="164"/>
      <c r="C279" s="102"/>
      <c r="D279" s="59"/>
      <c r="E279" s="166"/>
    </row>
    <row r="280" spans="1:7" ht="17.25" x14ac:dyDescent="0.25">
      <c r="A280" s="152"/>
      <c r="B280" s="164" t="s">
        <v>100</v>
      </c>
      <c r="C280" s="102" t="s">
        <v>244</v>
      </c>
      <c r="D280" s="49" t="s">
        <v>12</v>
      </c>
      <c r="E280" s="166">
        <v>13</v>
      </c>
    </row>
    <row r="281" spans="1:7" x14ac:dyDescent="0.25">
      <c r="A281" s="152"/>
      <c r="B281" s="164"/>
      <c r="C281" s="102"/>
      <c r="D281" s="59"/>
      <c r="E281" s="166"/>
    </row>
    <row r="282" spans="1:7" x14ac:dyDescent="0.25">
      <c r="A282" s="152"/>
      <c r="B282" s="164" t="s">
        <v>101</v>
      </c>
      <c r="C282" s="102" t="s">
        <v>245</v>
      </c>
      <c r="D282" s="59" t="s">
        <v>59</v>
      </c>
      <c r="E282" s="166">
        <v>1</v>
      </c>
    </row>
    <row r="283" spans="1:7" x14ac:dyDescent="0.25">
      <c r="A283" s="152"/>
      <c r="B283" s="164"/>
      <c r="C283" s="102"/>
      <c r="D283" s="59"/>
      <c r="E283" s="166"/>
    </row>
    <row r="284" spans="1:7" ht="17.25" x14ac:dyDescent="0.25">
      <c r="A284" s="152"/>
      <c r="B284" s="164" t="s">
        <v>102</v>
      </c>
      <c r="C284" s="102" t="s">
        <v>246</v>
      </c>
      <c r="D284" s="49" t="s">
        <v>12</v>
      </c>
      <c r="E284" s="166">
        <v>8</v>
      </c>
    </row>
    <row r="285" spans="1:7" x14ac:dyDescent="0.25">
      <c r="A285" s="152"/>
      <c r="B285" s="164"/>
      <c r="C285" s="102"/>
      <c r="D285" s="59"/>
      <c r="E285" s="166"/>
    </row>
    <row r="286" spans="1:7" ht="30" x14ac:dyDescent="0.25">
      <c r="A286" s="152"/>
      <c r="B286" s="164" t="s">
        <v>103</v>
      </c>
      <c r="C286" s="102" t="s">
        <v>412</v>
      </c>
      <c r="D286" s="49" t="s">
        <v>12</v>
      </c>
      <c r="E286" s="166">
        <f>(8+13)*2</f>
        <v>42</v>
      </c>
    </row>
    <row r="287" spans="1:7" ht="75" x14ac:dyDescent="0.25">
      <c r="A287" s="152"/>
      <c r="B287" s="164"/>
      <c r="C287" s="102" t="s">
        <v>413</v>
      </c>
      <c r="D287" s="49"/>
      <c r="E287" s="166"/>
    </row>
    <row r="288" spans="1:7" ht="75" x14ac:dyDescent="0.25">
      <c r="A288" s="152"/>
      <c r="B288" s="164"/>
      <c r="C288" s="102" t="s">
        <v>414</v>
      </c>
      <c r="D288" s="49"/>
      <c r="E288" s="166"/>
    </row>
    <row r="289" spans="1:5" x14ac:dyDescent="0.25">
      <c r="A289" s="152"/>
      <c r="B289" s="164"/>
      <c r="C289" s="102"/>
      <c r="D289" s="49"/>
      <c r="E289" s="166"/>
    </row>
    <row r="290" spans="1:5" ht="17.25" x14ac:dyDescent="0.25">
      <c r="A290" s="152"/>
      <c r="B290" s="164" t="s">
        <v>104</v>
      </c>
      <c r="C290" s="102" t="s">
        <v>247</v>
      </c>
      <c r="D290" s="49" t="s">
        <v>12</v>
      </c>
      <c r="E290" s="166">
        <v>21</v>
      </c>
    </row>
    <row r="291" spans="1:5" ht="30" x14ac:dyDescent="0.25">
      <c r="A291" s="152"/>
      <c r="B291" s="164"/>
      <c r="C291" s="102" t="s">
        <v>401</v>
      </c>
      <c r="D291" s="49"/>
      <c r="E291" s="166"/>
    </row>
    <row r="292" spans="1:5" x14ac:dyDescent="0.25">
      <c r="A292" s="152"/>
      <c r="B292" s="164"/>
      <c r="C292" s="102"/>
      <c r="D292" s="59"/>
      <c r="E292" s="166"/>
    </row>
    <row r="293" spans="1:5" ht="30" x14ac:dyDescent="0.25">
      <c r="A293" s="152"/>
      <c r="B293" s="164" t="s">
        <v>105</v>
      </c>
      <c r="C293" s="102" t="s">
        <v>248</v>
      </c>
      <c r="D293" s="59" t="s">
        <v>61</v>
      </c>
      <c r="E293" s="166">
        <f>13*0.6</f>
        <v>7.8</v>
      </c>
    </row>
    <row r="294" spans="1:5" x14ac:dyDescent="0.25">
      <c r="A294" s="152"/>
      <c r="B294" s="164"/>
      <c r="C294" s="102" t="s">
        <v>427</v>
      </c>
      <c r="D294" s="59"/>
      <c r="E294" s="166"/>
    </row>
    <row r="295" spans="1:5" x14ac:dyDescent="0.25">
      <c r="A295" s="152"/>
      <c r="B295" s="164"/>
      <c r="C295" s="102"/>
      <c r="D295" s="59"/>
      <c r="E295" s="166"/>
    </row>
    <row r="296" spans="1:5" ht="17.25" x14ac:dyDescent="0.25">
      <c r="A296" s="152"/>
      <c r="B296" s="164" t="s">
        <v>106</v>
      </c>
      <c r="C296" s="102" t="s">
        <v>249</v>
      </c>
      <c r="D296" s="49" t="s">
        <v>12</v>
      </c>
      <c r="E296" s="166">
        <v>13</v>
      </c>
    </row>
    <row r="297" spans="1:5" x14ac:dyDescent="0.25">
      <c r="A297" s="152"/>
      <c r="B297" s="164"/>
      <c r="C297" s="102"/>
      <c r="D297" s="59"/>
      <c r="E297" s="166"/>
    </row>
    <row r="298" spans="1:5" ht="17.25" x14ac:dyDescent="0.25">
      <c r="A298" s="152"/>
      <c r="B298" s="164" t="s">
        <v>398</v>
      </c>
      <c r="C298" s="102" t="s">
        <v>250</v>
      </c>
      <c r="D298" s="49" t="s">
        <v>12</v>
      </c>
      <c r="E298" s="166">
        <v>13</v>
      </c>
    </row>
    <row r="299" spans="1:5" ht="60" x14ac:dyDescent="0.25">
      <c r="A299" s="152"/>
      <c r="B299" s="164"/>
      <c r="C299" s="102" t="s">
        <v>402</v>
      </c>
      <c r="D299" s="49"/>
      <c r="E299" s="166"/>
    </row>
    <row r="300" spans="1:5" x14ac:dyDescent="0.25">
      <c r="A300" s="152"/>
      <c r="B300" s="164"/>
      <c r="C300" s="102"/>
      <c r="D300" s="49"/>
      <c r="E300" s="166"/>
    </row>
    <row r="301" spans="1:5" ht="17.25" x14ac:dyDescent="0.25">
      <c r="A301" s="152"/>
      <c r="B301" s="164" t="s">
        <v>399</v>
      </c>
      <c r="C301" s="102" t="s">
        <v>415</v>
      </c>
      <c r="D301" s="49" t="s">
        <v>12</v>
      </c>
      <c r="E301" s="166">
        <f>21+1</f>
        <v>22</v>
      </c>
    </row>
    <row r="302" spans="1:5" x14ac:dyDescent="0.25">
      <c r="A302" s="152"/>
      <c r="B302" s="164"/>
      <c r="C302" s="102" t="s">
        <v>451</v>
      </c>
      <c r="D302" s="49"/>
      <c r="E302" s="166"/>
    </row>
    <row r="303" spans="1:5" x14ac:dyDescent="0.25">
      <c r="A303" s="152"/>
      <c r="B303" s="164"/>
      <c r="C303" s="102"/>
      <c r="D303" s="59"/>
      <c r="E303" s="166"/>
    </row>
    <row r="304" spans="1:5" x14ac:dyDescent="0.25">
      <c r="A304" s="152"/>
      <c r="B304" s="164" t="s">
        <v>400</v>
      </c>
      <c r="C304" s="102" t="s">
        <v>416</v>
      </c>
      <c r="D304" s="59" t="s">
        <v>63</v>
      </c>
      <c r="E304" s="166">
        <f>2*2*2.2</f>
        <v>8.8000000000000007</v>
      </c>
    </row>
    <row r="305" spans="1:5" x14ac:dyDescent="0.25">
      <c r="A305" s="152"/>
      <c r="B305" s="164"/>
      <c r="C305" s="102" t="s">
        <v>417</v>
      </c>
      <c r="D305" s="143"/>
      <c r="E305" s="167"/>
    </row>
    <row r="306" spans="1:5" x14ac:dyDescent="0.25">
      <c r="A306" s="152"/>
      <c r="B306" s="164"/>
      <c r="C306" s="102"/>
      <c r="D306" s="143"/>
      <c r="E306" s="167"/>
    </row>
    <row r="307" spans="1:5" ht="30" x14ac:dyDescent="0.25">
      <c r="B307" s="199" t="s">
        <v>129</v>
      </c>
      <c r="C307" s="198" t="s">
        <v>460</v>
      </c>
      <c r="D307" s="203"/>
      <c r="E307" s="201"/>
    </row>
    <row r="308" spans="1:5" x14ac:dyDescent="0.25">
      <c r="B308" s="164"/>
      <c r="C308" s="52" t="s">
        <v>418</v>
      </c>
      <c r="D308" s="50"/>
      <c r="E308" s="167"/>
    </row>
    <row r="309" spans="1:5" x14ac:dyDescent="0.25">
      <c r="B309" s="164" t="s">
        <v>107</v>
      </c>
      <c r="C309" s="50" t="s">
        <v>419</v>
      </c>
      <c r="D309" s="168" t="s">
        <v>420</v>
      </c>
      <c r="E309" s="166">
        <v>30</v>
      </c>
    </row>
    <row r="310" spans="1:5" ht="17.25" x14ac:dyDescent="0.25">
      <c r="B310" s="164" t="s">
        <v>108</v>
      </c>
      <c r="C310" s="50" t="s">
        <v>421</v>
      </c>
      <c r="D310" s="168" t="s">
        <v>420</v>
      </c>
      <c r="E310" s="166">
        <v>30</v>
      </c>
    </row>
    <row r="311" spans="1:5" x14ac:dyDescent="0.25">
      <c r="B311" s="164" t="s">
        <v>109</v>
      </c>
      <c r="C311" s="50" t="s">
        <v>422</v>
      </c>
      <c r="D311" s="168" t="s">
        <v>420</v>
      </c>
      <c r="E311" s="166">
        <v>30</v>
      </c>
    </row>
    <row r="312" spans="1:5" ht="17.25" x14ac:dyDescent="0.25">
      <c r="B312" s="164" t="s">
        <v>110</v>
      </c>
      <c r="C312" s="50" t="s">
        <v>423</v>
      </c>
      <c r="D312" s="168" t="s">
        <v>420</v>
      </c>
      <c r="E312" s="166">
        <v>30</v>
      </c>
    </row>
    <row r="313" spans="1:5" ht="17.25" x14ac:dyDescent="0.25">
      <c r="B313" s="169" t="s">
        <v>111</v>
      </c>
      <c r="C313" s="170" t="s">
        <v>424</v>
      </c>
      <c r="D313" s="171" t="s">
        <v>11</v>
      </c>
      <c r="E313" s="172">
        <v>6</v>
      </c>
    </row>
    <row r="314" spans="1:5" x14ac:dyDescent="0.25">
      <c r="B314" s="164"/>
      <c r="C314" s="50" t="s">
        <v>425</v>
      </c>
      <c r="D314" s="50"/>
      <c r="E314" s="167"/>
    </row>
    <row r="315" spans="1:5" x14ac:dyDescent="0.25">
      <c r="B315" s="164"/>
      <c r="C315" s="102"/>
      <c r="D315" s="143"/>
      <c r="E315" s="167"/>
    </row>
    <row r="316" spans="1:5" ht="15.75" thickBot="1" x14ac:dyDescent="0.3">
      <c r="B316" s="173" t="s">
        <v>457</v>
      </c>
      <c r="C316" s="174" t="s">
        <v>431</v>
      </c>
      <c r="D316" s="174"/>
      <c r="E316" s="175"/>
    </row>
    <row r="317" spans="1:5" x14ac:dyDescent="0.25">
      <c r="B317" s="150"/>
      <c r="C317" s="151"/>
      <c r="D317" s="151"/>
      <c r="E317" s="151"/>
    </row>
    <row r="318" spans="1:5" x14ac:dyDescent="0.25">
      <c r="B318" s="150"/>
      <c r="C318" s="151"/>
      <c r="D318" s="151"/>
      <c r="E318" s="151"/>
    </row>
    <row r="319" spans="1:5" x14ac:dyDescent="0.25">
      <c r="B319" s="150"/>
      <c r="C319" s="151"/>
      <c r="D319" s="151"/>
      <c r="E319" s="151"/>
    </row>
    <row r="320" spans="1:5" x14ac:dyDescent="0.25">
      <c r="B320" s="58"/>
    </row>
    <row r="321" spans="2:2" x14ac:dyDescent="0.25">
      <c r="B321" s="58"/>
    </row>
    <row r="322" spans="2:2" x14ac:dyDescent="0.25">
      <c r="B322" s="58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&amp;RVýkaz výměr SO 03</oddHeader>
    <oddFooter>&amp;L&amp;9&amp;F&amp;C&amp;10&amp;A&amp;R&amp;10&amp;P/&amp;N</oddFooter>
  </headerFooter>
  <rowBreaks count="6" manualBreakCount="6">
    <brk id="41" min="1" max="4" man="1"/>
    <brk id="75" min="1" max="4" man="1"/>
    <brk id="113" min="1" max="4" man="1"/>
    <brk id="150" min="1" max="4" man="1"/>
    <brk id="224" min="1" max="4" man="1"/>
    <brk id="241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42"/>
  <sheetViews>
    <sheetView topLeftCell="A12" zoomScale="115" zoomScaleNormal="115" workbookViewId="0">
      <selection activeCell="S34" sqref="S34"/>
    </sheetView>
  </sheetViews>
  <sheetFormatPr defaultRowHeight="15" x14ac:dyDescent="0.25"/>
  <cols>
    <col min="1" max="1" width="2.7109375" style="1" customWidth="1"/>
    <col min="2" max="2" width="4.7109375" style="1" customWidth="1"/>
    <col min="3" max="3" width="8.140625" style="1" bestFit="1" customWidth="1"/>
    <col min="4" max="4" width="7" style="1" customWidth="1"/>
    <col min="5" max="5" width="7.85546875" style="1" customWidth="1"/>
    <col min="6" max="6" width="7" style="1" customWidth="1"/>
    <col min="7" max="7" width="8.42578125" style="1" customWidth="1"/>
    <col min="8" max="8" width="8.85546875" style="1" bestFit="1" customWidth="1"/>
    <col min="9" max="9" width="7.140625" style="1" customWidth="1"/>
    <col min="10" max="10" width="8.5703125" style="1" customWidth="1"/>
    <col min="11" max="11" width="8.28515625" style="1" customWidth="1"/>
    <col min="12" max="12" width="7.140625" style="1" customWidth="1"/>
    <col min="13" max="13" width="8.85546875" style="1" customWidth="1"/>
    <col min="14" max="14" width="8.42578125" style="1" customWidth="1"/>
    <col min="15" max="15" width="11.42578125" style="1" bestFit="1" customWidth="1"/>
    <col min="16" max="16" width="9.140625" style="1"/>
    <col min="17" max="17" width="11.42578125" style="1" bestFit="1" customWidth="1"/>
    <col min="18" max="18" width="9.140625" style="1"/>
    <col min="19" max="19" width="11.28515625" style="1" customWidth="1"/>
    <col min="20" max="16384" width="9.140625" style="1"/>
  </cols>
  <sheetData>
    <row r="2" spans="2:20" ht="15.75" x14ac:dyDescent="0.25">
      <c r="B2" s="2" t="s">
        <v>40</v>
      </c>
      <c r="C2" s="54"/>
    </row>
    <row r="3" spans="2:20" ht="15.75" x14ac:dyDescent="0.25">
      <c r="B3" s="2" t="s">
        <v>41</v>
      </c>
      <c r="C3" s="54"/>
    </row>
    <row r="4" spans="2:20" ht="15.75" x14ac:dyDescent="0.25">
      <c r="B4" s="4" t="s">
        <v>39</v>
      </c>
    </row>
    <row r="5" spans="2:20" x14ac:dyDescent="0.25">
      <c r="B5" s="5" t="s">
        <v>80</v>
      </c>
    </row>
    <row r="6" spans="2:20" x14ac:dyDescent="0.25">
      <c r="B6" s="6" t="s">
        <v>1</v>
      </c>
    </row>
    <row r="7" spans="2:20" x14ac:dyDescent="0.25">
      <c r="B7" s="6" t="s">
        <v>2</v>
      </c>
    </row>
    <row r="8" spans="2:20" x14ac:dyDescent="0.25">
      <c r="B8" s="7" t="s">
        <v>252</v>
      </c>
    </row>
    <row r="9" spans="2:20" ht="8.25" customHeight="1" thickBot="1" x14ac:dyDescent="0.3">
      <c r="B9" s="18"/>
      <c r="C9" s="18"/>
      <c r="D9" s="18"/>
      <c r="E9" s="19"/>
      <c r="F9" s="29"/>
      <c r="G9" s="18"/>
      <c r="H9" s="29"/>
      <c r="I9" s="18"/>
      <c r="J9" s="29"/>
      <c r="K9" s="18"/>
      <c r="L9" s="29"/>
      <c r="M9" s="18"/>
      <c r="N9" s="30"/>
      <c r="O9" s="20"/>
      <c r="P9" s="29"/>
      <c r="Q9" s="18"/>
      <c r="R9" s="29"/>
      <c r="S9" s="18"/>
      <c r="T9" s="29"/>
    </row>
    <row r="10" spans="2:20" ht="15.75" thickBot="1" x14ac:dyDescent="0.3">
      <c r="B10" s="251" t="s">
        <v>31</v>
      </c>
      <c r="C10" s="252"/>
      <c r="D10" s="255" t="s">
        <v>29</v>
      </c>
      <c r="E10" s="257" t="s">
        <v>134</v>
      </c>
      <c r="F10" s="257"/>
      <c r="G10" s="257"/>
      <c r="H10" s="257" t="s">
        <v>133</v>
      </c>
      <c r="I10" s="257"/>
      <c r="J10" s="257"/>
      <c r="K10" s="257" t="s">
        <v>160</v>
      </c>
      <c r="L10" s="257"/>
      <c r="M10" s="257"/>
      <c r="N10" s="30"/>
      <c r="O10" s="20"/>
      <c r="P10" s="29"/>
      <c r="Q10" s="18"/>
      <c r="R10" s="29"/>
      <c r="S10" s="18"/>
      <c r="T10" s="29"/>
    </row>
    <row r="11" spans="2:20" ht="19.5" customHeight="1" thickBot="1" x14ac:dyDescent="0.3">
      <c r="B11" s="253"/>
      <c r="C11" s="254"/>
      <c r="D11" s="255"/>
      <c r="E11" s="258" t="s">
        <v>37</v>
      </c>
      <c r="F11" s="258"/>
      <c r="G11" s="258"/>
      <c r="H11" s="258" t="s">
        <v>82</v>
      </c>
      <c r="I11" s="258"/>
      <c r="J11" s="258"/>
      <c r="K11" s="258" t="s">
        <v>81</v>
      </c>
      <c r="L11" s="258"/>
      <c r="M11" s="258"/>
      <c r="N11" s="30"/>
      <c r="O11" s="20"/>
      <c r="P11" s="29"/>
      <c r="Q11" s="18"/>
      <c r="R11" s="29"/>
      <c r="S11" s="18"/>
      <c r="T11" s="29"/>
    </row>
    <row r="12" spans="2:20" ht="23.25" customHeight="1" x14ac:dyDescent="0.25">
      <c r="B12" s="31" t="s">
        <v>25</v>
      </c>
      <c r="C12" s="31" t="s">
        <v>26</v>
      </c>
      <c r="D12" s="256"/>
      <c r="E12" s="32" t="s">
        <v>32</v>
      </c>
      <c r="F12" s="33" t="s">
        <v>33</v>
      </c>
      <c r="G12" s="32" t="s">
        <v>34</v>
      </c>
      <c r="H12" s="32" t="s">
        <v>32</v>
      </c>
      <c r="I12" s="33" t="s">
        <v>33</v>
      </c>
      <c r="J12" s="32" t="s">
        <v>34</v>
      </c>
      <c r="K12" s="32" t="s">
        <v>32</v>
      </c>
      <c r="L12" s="33" t="s">
        <v>33</v>
      </c>
      <c r="M12" s="32" t="s">
        <v>34</v>
      </c>
      <c r="N12" s="30"/>
      <c r="O12" s="20"/>
      <c r="P12" s="29"/>
      <c r="Q12" s="18"/>
      <c r="R12" s="29"/>
      <c r="S12" s="18"/>
      <c r="T12" s="29"/>
    </row>
    <row r="13" spans="2:20" ht="15.75" thickBot="1" x14ac:dyDescent="0.3">
      <c r="B13" s="34"/>
      <c r="C13" s="35" t="s">
        <v>22</v>
      </c>
      <c r="D13" s="36" t="s">
        <v>14</v>
      </c>
      <c r="E13" s="35" t="s">
        <v>14</v>
      </c>
      <c r="F13" s="68" t="s">
        <v>14</v>
      </c>
      <c r="G13" s="35" t="s">
        <v>35</v>
      </c>
      <c r="H13" s="35" t="s">
        <v>14</v>
      </c>
      <c r="I13" s="68" t="s">
        <v>14</v>
      </c>
      <c r="J13" s="35" t="s">
        <v>35</v>
      </c>
      <c r="K13" s="35" t="s">
        <v>14</v>
      </c>
      <c r="L13" s="68" t="s">
        <v>14</v>
      </c>
      <c r="M13" s="35" t="s">
        <v>35</v>
      </c>
      <c r="N13" s="30"/>
      <c r="O13" s="20"/>
      <c r="P13" s="29"/>
      <c r="Q13" s="18"/>
      <c r="R13" s="29"/>
      <c r="S13" s="18"/>
      <c r="T13" s="29"/>
    </row>
    <row r="14" spans="2:20" x14ac:dyDescent="0.25">
      <c r="B14" s="37" t="s">
        <v>30</v>
      </c>
      <c r="C14" s="38"/>
      <c r="D14" s="38"/>
      <c r="E14" s="38"/>
      <c r="F14" s="38"/>
      <c r="G14" s="38"/>
      <c r="H14" s="38"/>
      <c r="I14" s="38"/>
      <c r="J14" s="38"/>
      <c r="K14" s="39"/>
      <c r="L14" s="39"/>
      <c r="M14" s="40"/>
    </row>
    <row r="15" spans="2:20" ht="6.75" customHeight="1" x14ac:dyDescent="0.25">
      <c r="B15" s="259" t="s">
        <v>65</v>
      </c>
      <c r="C15" s="247">
        <v>0.18264</v>
      </c>
      <c r="D15" s="47"/>
      <c r="E15" s="250">
        <v>0</v>
      </c>
      <c r="F15" s="69"/>
      <c r="G15" s="69"/>
      <c r="H15" s="250">
        <v>6</v>
      </c>
      <c r="I15" s="70"/>
      <c r="J15" s="70"/>
      <c r="K15" s="250">
        <v>4.5</v>
      </c>
      <c r="L15" s="70"/>
      <c r="M15" s="73"/>
    </row>
    <row r="16" spans="2:20" ht="17.25" customHeight="1" x14ac:dyDescent="0.25">
      <c r="B16" s="259"/>
      <c r="C16" s="247"/>
      <c r="D16" s="248">
        <f>(C15-C17)*1000</f>
        <v>5.0099999999999865</v>
      </c>
      <c r="E16" s="250"/>
      <c r="F16" s="243">
        <f>(E15+E17)/2</f>
        <v>0</v>
      </c>
      <c r="G16" s="245">
        <f>D16*F16</f>
        <v>0</v>
      </c>
      <c r="H16" s="250"/>
      <c r="I16" s="243">
        <f>(H15+H17)/2</f>
        <v>6</v>
      </c>
      <c r="J16" s="245">
        <f>D16*I16</f>
        <v>30.059999999999917</v>
      </c>
      <c r="K16" s="250"/>
      <c r="L16" s="243">
        <f>(K15+K17)/2</f>
        <v>4.5</v>
      </c>
      <c r="M16" s="241">
        <f>L16*D16</f>
        <v>22.544999999999938</v>
      </c>
    </row>
    <row r="17" spans="2:13" ht="12.75" customHeight="1" x14ac:dyDescent="0.25">
      <c r="B17" s="246" t="s">
        <v>21</v>
      </c>
      <c r="C17" s="247">
        <v>0.17763000000000001</v>
      </c>
      <c r="D17" s="248"/>
      <c r="E17" s="245">
        <v>0</v>
      </c>
      <c r="F17" s="244"/>
      <c r="G17" s="245"/>
      <c r="H17" s="245">
        <v>6</v>
      </c>
      <c r="I17" s="244"/>
      <c r="J17" s="245"/>
      <c r="K17" s="245">
        <v>4.5</v>
      </c>
      <c r="L17" s="244"/>
      <c r="M17" s="242"/>
    </row>
    <row r="18" spans="2:13" ht="12.75" customHeight="1" x14ac:dyDescent="0.25">
      <c r="B18" s="246"/>
      <c r="C18" s="247"/>
      <c r="D18" s="248">
        <f>(C17-C19)*1000</f>
        <v>12.810000000000016</v>
      </c>
      <c r="E18" s="245"/>
      <c r="F18" s="243">
        <f>(E17+E19)/2</f>
        <v>0.5</v>
      </c>
      <c r="G18" s="245">
        <f t="shared" ref="G18:G34" si="0">D18*F18</f>
        <v>6.4050000000000082</v>
      </c>
      <c r="H18" s="245"/>
      <c r="I18" s="243">
        <f>(H17+H19)/2</f>
        <v>7.3</v>
      </c>
      <c r="J18" s="245">
        <f>D18*I18</f>
        <v>93.513000000000119</v>
      </c>
      <c r="K18" s="245">
        <f t="shared" ref="K18:K34" si="1">0.6+0.6</f>
        <v>1.2</v>
      </c>
      <c r="L18" s="243">
        <f t="shared" ref="L18:L34" si="2">(K17+K19)/2</f>
        <v>4.25</v>
      </c>
      <c r="M18" s="241">
        <f>L18*D18</f>
        <v>54.442500000000067</v>
      </c>
    </row>
    <row r="19" spans="2:13" ht="12.75" customHeight="1" x14ac:dyDescent="0.25">
      <c r="B19" s="246" t="s">
        <v>20</v>
      </c>
      <c r="C19" s="247">
        <v>0.16481999999999999</v>
      </c>
      <c r="D19" s="248"/>
      <c r="E19" s="250">
        <v>1</v>
      </c>
      <c r="F19" s="244"/>
      <c r="G19" s="245"/>
      <c r="H19" s="245">
        <v>8.6</v>
      </c>
      <c r="I19" s="244"/>
      <c r="J19" s="245"/>
      <c r="K19" s="245">
        <v>4</v>
      </c>
      <c r="L19" s="244"/>
      <c r="M19" s="242"/>
    </row>
    <row r="20" spans="2:13" ht="12.75" customHeight="1" x14ac:dyDescent="0.25">
      <c r="B20" s="246"/>
      <c r="C20" s="247"/>
      <c r="D20" s="248">
        <f>(C19-C21)*1000</f>
        <v>6.6199999999999868</v>
      </c>
      <c r="E20" s="250"/>
      <c r="F20" s="243">
        <f t="shared" ref="F20:F36" si="3">(E19+E21)/2</f>
        <v>1</v>
      </c>
      <c r="G20" s="245">
        <f t="shared" ref="G20:G36" si="4">D20*F20</f>
        <v>6.6199999999999868</v>
      </c>
      <c r="H20" s="245"/>
      <c r="I20" s="243">
        <f>(H19+H21)/2</f>
        <v>8.6999999999999993</v>
      </c>
      <c r="J20" s="245">
        <f t="shared" ref="J20:J36" si="5">D20*I20</f>
        <v>57.59399999999988</v>
      </c>
      <c r="K20" s="245">
        <f t="shared" ref="K20:K36" si="6">0.6+0.6</f>
        <v>1.2</v>
      </c>
      <c r="L20" s="243">
        <f t="shared" ref="L20:L36" si="7">(K19+K21)/2</f>
        <v>5.45</v>
      </c>
      <c r="M20" s="241">
        <f t="shared" ref="M20:M36" si="8">L20*D20</f>
        <v>36.07899999999993</v>
      </c>
    </row>
    <row r="21" spans="2:13" ht="12.75" customHeight="1" x14ac:dyDescent="0.25">
      <c r="B21" s="246" t="s">
        <v>19</v>
      </c>
      <c r="C21" s="247">
        <v>0.15820000000000001</v>
      </c>
      <c r="D21" s="248"/>
      <c r="E21" s="250">
        <v>1</v>
      </c>
      <c r="F21" s="244"/>
      <c r="G21" s="245"/>
      <c r="H21" s="245">
        <v>8.8000000000000007</v>
      </c>
      <c r="I21" s="244"/>
      <c r="J21" s="245"/>
      <c r="K21" s="245">
        <v>6.9</v>
      </c>
      <c r="L21" s="244"/>
      <c r="M21" s="242"/>
    </row>
    <row r="22" spans="2:13" ht="6.75" customHeight="1" x14ac:dyDescent="0.25">
      <c r="B22" s="246"/>
      <c r="C22" s="247"/>
      <c r="D22" s="248">
        <f>(C21-C23)*1000</f>
        <v>19.990000000000009</v>
      </c>
      <c r="E22" s="250"/>
      <c r="F22" s="243">
        <f>(E21+E23)/2</f>
        <v>1</v>
      </c>
      <c r="G22" s="245">
        <f t="shared" ref="G22" si="9">D22*F22</f>
        <v>19.990000000000009</v>
      </c>
      <c r="H22" s="245"/>
      <c r="I22" s="243">
        <f>(H21+H23)/2</f>
        <v>10.100000000000001</v>
      </c>
      <c r="J22" s="245">
        <f t="shared" ref="J22" si="10">D22*I22</f>
        <v>201.89900000000011</v>
      </c>
      <c r="K22" s="245">
        <f t="shared" ref="K22:K38" si="11">0.6+0.6</f>
        <v>1.2</v>
      </c>
      <c r="L22" s="243">
        <f t="shared" ref="L22" si="12">(K21+K23)/2</f>
        <v>9.6000000000000014</v>
      </c>
      <c r="M22" s="241">
        <f t="shared" ref="M22" si="13">L22*D22</f>
        <v>191.90400000000011</v>
      </c>
    </row>
    <row r="23" spans="2:13" ht="12.75" customHeight="1" x14ac:dyDescent="0.25">
      <c r="B23" s="246" t="s">
        <v>76</v>
      </c>
      <c r="C23" s="247">
        <v>0.13821</v>
      </c>
      <c r="D23" s="248"/>
      <c r="E23" s="245">
        <v>1</v>
      </c>
      <c r="F23" s="244"/>
      <c r="G23" s="245"/>
      <c r="H23" s="245">
        <v>11.4</v>
      </c>
      <c r="I23" s="244"/>
      <c r="J23" s="245"/>
      <c r="K23" s="245">
        <v>12.3</v>
      </c>
      <c r="L23" s="244"/>
      <c r="M23" s="242"/>
    </row>
    <row r="24" spans="2:13" ht="12.75" customHeight="1" x14ac:dyDescent="0.25">
      <c r="B24" s="246"/>
      <c r="C24" s="247"/>
      <c r="D24" s="248">
        <f>(C23-C25)*1000</f>
        <v>24.929999999999993</v>
      </c>
      <c r="E24" s="245"/>
      <c r="F24" s="243">
        <f t="shared" ref="F24" si="14">(E23+E25)/2</f>
        <v>4.3</v>
      </c>
      <c r="G24" s="245">
        <f t="shared" ref="G24" si="15">D24*F24</f>
        <v>107.19899999999997</v>
      </c>
      <c r="H24" s="245"/>
      <c r="I24" s="243">
        <f t="shared" ref="I24" si="16">(H23+H25)/2</f>
        <v>6.45</v>
      </c>
      <c r="J24" s="245">
        <f t="shared" ref="J24" si="17">D24*I24</f>
        <v>160.79849999999996</v>
      </c>
      <c r="K24" s="245">
        <f t="shared" ref="K24" si="18">0.6+0.6</f>
        <v>1.2</v>
      </c>
      <c r="L24" s="243">
        <f t="shared" ref="L24" si="19">(K23+K25)/2</f>
        <v>9.15</v>
      </c>
      <c r="M24" s="241">
        <f t="shared" ref="M24" si="20">L24*D24</f>
        <v>228.10949999999994</v>
      </c>
    </row>
    <row r="25" spans="2:13" ht="12.75" customHeight="1" x14ac:dyDescent="0.25">
      <c r="B25" s="246" t="s">
        <v>18</v>
      </c>
      <c r="C25" s="247">
        <v>0.11328000000000001</v>
      </c>
      <c r="D25" s="248"/>
      <c r="E25" s="245">
        <v>7.6</v>
      </c>
      <c r="F25" s="244"/>
      <c r="G25" s="245"/>
      <c r="H25" s="245">
        <v>1.5</v>
      </c>
      <c r="I25" s="244"/>
      <c r="J25" s="245"/>
      <c r="K25" s="245">
        <v>6</v>
      </c>
      <c r="L25" s="244"/>
      <c r="M25" s="242"/>
    </row>
    <row r="26" spans="2:13" ht="12.75" customHeight="1" x14ac:dyDescent="0.25">
      <c r="B26" s="246"/>
      <c r="C26" s="247"/>
      <c r="D26" s="248">
        <f>(C25-C27)*1000</f>
        <v>7.2500000000000062</v>
      </c>
      <c r="E26" s="245"/>
      <c r="F26" s="243">
        <f t="shared" ref="F26" si="21">(E25+E27)/2</f>
        <v>5.5</v>
      </c>
      <c r="G26" s="245">
        <f t="shared" ref="G26" si="22">D26*F26</f>
        <v>39.875000000000036</v>
      </c>
      <c r="H26" s="245"/>
      <c r="I26" s="243">
        <f t="shared" ref="I26" si="23">(H25+H27)/2</f>
        <v>2.25</v>
      </c>
      <c r="J26" s="245">
        <f t="shared" ref="J26" si="24">D26*I26</f>
        <v>16.312500000000014</v>
      </c>
      <c r="K26" s="245">
        <f t="shared" ref="K26" si="25">0.6+0.6</f>
        <v>1.2</v>
      </c>
      <c r="L26" s="243">
        <f t="shared" ref="L26" si="26">(K25+K27)/2</f>
        <v>6.25</v>
      </c>
      <c r="M26" s="241">
        <f t="shared" ref="M26" si="27">L26*D26</f>
        <v>45.312500000000036</v>
      </c>
    </row>
    <row r="27" spans="2:13" ht="12.75" customHeight="1" x14ac:dyDescent="0.25">
      <c r="B27" s="246" t="s">
        <v>17</v>
      </c>
      <c r="C27" s="247">
        <v>0.10603</v>
      </c>
      <c r="D27" s="248"/>
      <c r="E27" s="245">
        <v>3.4</v>
      </c>
      <c r="F27" s="244"/>
      <c r="G27" s="245"/>
      <c r="H27" s="245">
        <v>3</v>
      </c>
      <c r="I27" s="244"/>
      <c r="J27" s="245"/>
      <c r="K27" s="245">
        <v>6.5</v>
      </c>
      <c r="L27" s="244"/>
      <c r="M27" s="242"/>
    </row>
    <row r="28" spans="2:13" ht="12.75" customHeight="1" x14ac:dyDescent="0.25">
      <c r="B28" s="260"/>
      <c r="C28" s="261"/>
      <c r="D28" s="248">
        <f>(C27-C29)*1000</f>
        <v>11.029999999999998</v>
      </c>
      <c r="E28" s="262"/>
      <c r="F28" s="243">
        <f t="shared" ref="F28:F30" si="28">(E27+E29)/2</f>
        <v>4.3</v>
      </c>
      <c r="G28" s="245">
        <f t="shared" ref="G28:G30" si="29">D28*F28</f>
        <v>47.428999999999988</v>
      </c>
      <c r="H28" s="245"/>
      <c r="I28" s="243">
        <f t="shared" ref="I28:I30" si="30">(H27+H29)/2</f>
        <v>2.5</v>
      </c>
      <c r="J28" s="245">
        <f t="shared" ref="J28:J30" si="31">D28*I28</f>
        <v>27.574999999999996</v>
      </c>
      <c r="K28" s="245">
        <f t="shared" ref="K28" si="32">0.6+0.6</f>
        <v>1.2</v>
      </c>
      <c r="L28" s="243">
        <f t="shared" ref="L28:L30" si="33">(K27+K29)/2</f>
        <v>6.35</v>
      </c>
      <c r="M28" s="241">
        <f t="shared" ref="M28:M30" si="34">L28*D28</f>
        <v>70.04049999999998</v>
      </c>
    </row>
    <row r="29" spans="2:13" ht="15" customHeight="1" x14ac:dyDescent="0.25">
      <c r="B29" s="246" t="s">
        <v>16</v>
      </c>
      <c r="C29" s="247">
        <v>9.5000000000000001E-2</v>
      </c>
      <c r="D29" s="248"/>
      <c r="E29" s="245">
        <v>5.2</v>
      </c>
      <c r="F29" s="244"/>
      <c r="G29" s="245"/>
      <c r="H29" s="245">
        <v>2</v>
      </c>
      <c r="I29" s="244"/>
      <c r="J29" s="245"/>
      <c r="K29" s="245">
        <v>6.2</v>
      </c>
      <c r="L29" s="244"/>
      <c r="M29" s="242"/>
    </row>
    <row r="30" spans="2:13" ht="15" customHeight="1" x14ac:dyDescent="0.25">
      <c r="B30" s="260"/>
      <c r="C30" s="247"/>
      <c r="D30" s="248">
        <f>(C29-C31)*1000</f>
        <v>12.6</v>
      </c>
      <c r="E30" s="245"/>
      <c r="F30" s="243">
        <f t="shared" si="28"/>
        <v>2.6</v>
      </c>
      <c r="G30" s="245">
        <f t="shared" si="29"/>
        <v>32.76</v>
      </c>
      <c r="H30" s="245"/>
      <c r="I30" s="243">
        <f t="shared" si="30"/>
        <v>1</v>
      </c>
      <c r="J30" s="245">
        <f t="shared" si="31"/>
        <v>12.6</v>
      </c>
      <c r="K30" s="245">
        <f t="shared" ref="K30" si="35">0.6+0.6</f>
        <v>1.2</v>
      </c>
      <c r="L30" s="243">
        <f t="shared" si="33"/>
        <v>3.1</v>
      </c>
      <c r="M30" s="241">
        <f t="shared" si="34"/>
        <v>39.06</v>
      </c>
    </row>
    <row r="31" spans="2:13" ht="12.75" customHeight="1" x14ac:dyDescent="0.25">
      <c r="B31" s="246" t="s">
        <v>15</v>
      </c>
      <c r="C31" s="247">
        <v>8.2400000000000001E-2</v>
      </c>
      <c r="D31" s="248"/>
      <c r="E31" s="250">
        <v>0</v>
      </c>
      <c r="F31" s="244"/>
      <c r="G31" s="245"/>
      <c r="H31" s="250">
        <v>0</v>
      </c>
      <c r="I31" s="244"/>
      <c r="J31" s="245"/>
      <c r="K31" s="250">
        <v>0</v>
      </c>
      <c r="L31" s="244"/>
      <c r="M31" s="242"/>
    </row>
    <row r="32" spans="2:13" ht="12.75" customHeight="1" x14ac:dyDescent="0.25">
      <c r="B32" s="260"/>
      <c r="C32" s="247"/>
      <c r="D32" s="248">
        <f>(C31-C33)*1000</f>
        <v>36.250000000000007</v>
      </c>
      <c r="E32" s="250"/>
      <c r="F32" s="243">
        <f>(E31+E33)/2</f>
        <v>2.9</v>
      </c>
      <c r="G32" s="245">
        <f>D32*F32</f>
        <v>105.12500000000001</v>
      </c>
      <c r="H32" s="250"/>
      <c r="I32" s="243">
        <f>(H31+H33)/2</f>
        <v>1.5</v>
      </c>
      <c r="J32" s="245">
        <f>D32*I32</f>
        <v>54.375000000000014</v>
      </c>
      <c r="K32" s="250"/>
      <c r="L32" s="243">
        <f>(K31+K33)/2</f>
        <v>7.1</v>
      </c>
      <c r="M32" s="241">
        <f>L32*D32</f>
        <v>257.37500000000006</v>
      </c>
    </row>
    <row r="33" spans="2:13" ht="12.75" customHeight="1" x14ac:dyDescent="0.25">
      <c r="B33" s="249" t="s">
        <v>77</v>
      </c>
      <c r="C33" s="247">
        <v>4.6149999999999997E-2</v>
      </c>
      <c r="D33" s="248"/>
      <c r="E33" s="245">
        <v>5.8</v>
      </c>
      <c r="F33" s="244"/>
      <c r="G33" s="245"/>
      <c r="H33" s="245">
        <v>3</v>
      </c>
      <c r="I33" s="244"/>
      <c r="J33" s="245"/>
      <c r="K33" s="245">
        <v>14.2</v>
      </c>
      <c r="L33" s="244"/>
      <c r="M33" s="242"/>
    </row>
    <row r="34" spans="2:13" ht="12.75" customHeight="1" x14ac:dyDescent="0.25">
      <c r="B34" s="265"/>
      <c r="C34" s="247"/>
      <c r="D34" s="248">
        <f>(C33-C35)*1000</f>
        <v>11.08</v>
      </c>
      <c r="E34" s="245"/>
      <c r="F34" s="243">
        <f>(E33+E35)/2</f>
        <v>5.8</v>
      </c>
      <c r="G34" s="245">
        <f t="shared" si="0"/>
        <v>64.263999999999996</v>
      </c>
      <c r="H34" s="245"/>
      <c r="I34" s="243">
        <f>(H33+H35)/2</f>
        <v>3</v>
      </c>
      <c r="J34" s="245">
        <f>D34*I34</f>
        <v>33.24</v>
      </c>
      <c r="K34" s="245">
        <f t="shared" si="1"/>
        <v>1.2</v>
      </c>
      <c r="L34" s="243">
        <f t="shared" si="2"/>
        <v>14.2</v>
      </c>
      <c r="M34" s="241">
        <f>L34*D34</f>
        <v>157.33599999999998</v>
      </c>
    </row>
    <row r="35" spans="2:13" ht="12.75" customHeight="1" x14ac:dyDescent="0.25">
      <c r="B35" s="249" t="s">
        <v>78</v>
      </c>
      <c r="C35" s="247">
        <v>3.5069999999999997E-2</v>
      </c>
      <c r="D35" s="248"/>
      <c r="E35" s="250">
        <v>5.8</v>
      </c>
      <c r="F35" s="244"/>
      <c r="G35" s="245"/>
      <c r="H35" s="245">
        <v>3</v>
      </c>
      <c r="I35" s="244"/>
      <c r="J35" s="245"/>
      <c r="K35" s="245">
        <v>14.2</v>
      </c>
      <c r="L35" s="244"/>
      <c r="M35" s="242"/>
    </row>
    <row r="36" spans="2:13" ht="6.75" customHeight="1" x14ac:dyDescent="0.25">
      <c r="B36" s="249"/>
      <c r="C36" s="247"/>
      <c r="D36" s="248">
        <f>(C35-C37)*1000</f>
        <v>35.07</v>
      </c>
      <c r="E36" s="250"/>
      <c r="F36" s="243">
        <f t="shared" si="3"/>
        <v>2.9</v>
      </c>
      <c r="G36" s="245">
        <f t="shared" si="4"/>
        <v>101.703</v>
      </c>
      <c r="H36" s="245"/>
      <c r="I36" s="243">
        <f>(H35+H37)/2</f>
        <v>1.5</v>
      </c>
      <c r="J36" s="245">
        <f t="shared" si="5"/>
        <v>52.605000000000004</v>
      </c>
      <c r="K36" s="245">
        <f t="shared" si="6"/>
        <v>1.2</v>
      </c>
      <c r="L36" s="243">
        <f t="shared" si="7"/>
        <v>7.1</v>
      </c>
      <c r="M36" s="241">
        <f t="shared" si="8"/>
        <v>248.99699999999999</v>
      </c>
    </row>
    <row r="37" spans="2:13" ht="12.75" customHeight="1" x14ac:dyDescent="0.25">
      <c r="B37" s="249" t="s">
        <v>79</v>
      </c>
      <c r="C37" s="247">
        <v>0</v>
      </c>
      <c r="D37" s="248"/>
      <c r="E37" s="250">
        <v>0</v>
      </c>
      <c r="F37" s="244"/>
      <c r="G37" s="245"/>
      <c r="H37" s="245">
        <v>0</v>
      </c>
      <c r="I37" s="244"/>
      <c r="J37" s="245"/>
      <c r="K37" s="245">
        <v>0</v>
      </c>
      <c r="L37" s="244"/>
      <c r="M37" s="242"/>
    </row>
    <row r="38" spans="2:13" ht="12.75" customHeight="1" thickBot="1" x14ac:dyDescent="0.3">
      <c r="B38" s="249"/>
      <c r="C38" s="247"/>
      <c r="D38" s="67"/>
      <c r="E38" s="250"/>
      <c r="F38" s="72"/>
      <c r="G38" s="71"/>
      <c r="H38" s="245"/>
      <c r="I38" s="72"/>
      <c r="J38" s="71"/>
      <c r="K38" s="245">
        <f t="shared" si="11"/>
        <v>1.2</v>
      </c>
      <c r="L38" s="72"/>
      <c r="M38" s="74"/>
    </row>
    <row r="39" spans="2:13" ht="12.75" customHeight="1" x14ac:dyDescent="0.25">
      <c r="B39" s="41"/>
      <c r="C39" s="42"/>
      <c r="D39" s="42"/>
      <c r="E39" s="42"/>
      <c r="F39" s="42"/>
      <c r="G39" s="263">
        <f>SUM(G15:G38)</f>
        <v>531.37</v>
      </c>
      <c r="H39" s="43"/>
      <c r="I39" s="43"/>
      <c r="J39" s="263">
        <f>SUM(J15:J38)</f>
        <v>740.57200000000012</v>
      </c>
      <c r="K39" s="43"/>
      <c r="L39" s="43"/>
      <c r="M39" s="263">
        <f>SUM(M15:M38)</f>
        <v>1351.201</v>
      </c>
    </row>
    <row r="40" spans="2:13" ht="12.75" customHeight="1" thickBot="1" x14ac:dyDescent="0.3">
      <c r="B40" s="44"/>
      <c r="C40" s="45"/>
      <c r="D40" s="45"/>
      <c r="E40" s="45"/>
      <c r="F40" s="45"/>
      <c r="G40" s="264"/>
      <c r="H40" s="46"/>
      <c r="I40" s="46"/>
      <c r="J40" s="264"/>
      <c r="K40" s="46"/>
      <c r="L40" s="46"/>
      <c r="M40" s="264"/>
    </row>
    <row r="42" spans="2:13" x14ac:dyDescent="0.25">
      <c r="C42" s="1" t="s">
        <v>83</v>
      </c>
      <c r="D42" s="75">
        <f>SUM(D16:D41)</f>
        <v>182.64</v>
      </c>
      <c r="E42" s="1" t="s">
        <v>14</v>
      </c>
    </row>
  </sheetData>
  <mergeCells count="148">
    <mergeCell ref="G39:G40"/>
    <mergeCell ref="J39:J40"/>
    <mergeCell ref="M39:M40"/>
    <mergeCell ref="B33:B34"/>
    <mergeCell ref="C33:C34"/>
    <mergeCell ref="E33:E34"/>
    <mergeCell ref="H33:H34"/>
    <mergeCell ref="K33:K34"/>
    <mergeCell ref="B31:B32"/>
    <mergeCell ref="C31:C32"/>
    <mergeCell ref="E31:E32"/>
    <mergeCell ref="H31:H32"/>
    <mergeCell ref="K31:K32"/>
    <mergeCell ref="D32:D33"/>
    <mergeCell ref="F32:F33"/>
    <mergeCell ref="G32:G33"/>
    <mergeCell ref="I32:I33"/>
    <mergeCell ref="L36:L37"/>
    <mergeCell ref="M36:M37"/>
    <mergeCell ref="B37:B38"/>
    <mergeCell ref="C37:C38"/>
    <mergeCell ref="E37:E38"/>
    <mergeCell ref="H37:H38"/>
    <mergeCell ref="L34:L35"/>
    <mergeCell ref="B29:B30"/>
    <mergeCell ref="C29:C30"/>
    <mergeCell ref="E29:E30"/>
    <mergeCell ref="D28:D29"/>
    <mergeCell ref="F28:F29"/>
    <mergeCell ref="G28:G29"/>
    <mergeCell ref="D30:D31"/>
    <mergeCell ref="F30:F31"/>
    <mergeCell ref="G30:G31"/>
    <mergeCell ref="B27:B28"/>
    <mergeCell ref="C27:C28"/>
    <mergeCell ref="E27:E28"/>
    <mergeCell ref="L26:L27"/>
    <mergeCell ref="M26:M27"/>
    <mergeCell ref="K27:K28"/>
    <mergeCell ref="I28:I29"/>
    <mergeCell ref="J28:J29"/>
    <mergeCell ref="L28:L29"/>
    <mergeCell ref="K29:K30"/>
    <mergeCell ref="I26:I27"/>
    <mergeCell ref="J26:J27"/>
    <mergeCell ref="L30:L31"/>
    <mergeCell ref="M30:M31"/>
    <mergeCell ref="M28:M29"/>
    <mergeCell ref="B10:C11"/>
    <mergeCell ref="D10:D12"/>
    <mergeCell ref="E10:G10"/>
    <mergeCell ref="H10:J10"/>
    <mergeCell ref="K10:M10"/>
    <mergeCell ref="E11:G11"/>
    <mergeCell ref="H11:J11"/>
    <mergeCell ref="K11:M11"/>
    <mergeCell ref="H15:H16"/>
    <mergeCell ref="K15:K16"/>
    <mergeCell ref="B15:B16"/>
    <mergeCell ref="C15:C16"/>
    <mergeCell ref="E15:E16"/>
    <mergeCell ref="D16:D17"/>
    <mergeCell ref="F16:F17"/>
    <mergeCell ref="G16:G17"/>
    <mergeCell ref="M16:M17"/>
    <mergeCell ref="B17:B18"/>
    <mergeCell ref="C17:C18"/>
    <mergeCell ref="L18:L19"/>
    <mergeCell ref="M18:M19"/>
    <mergeCell ref="E19:E20"/>
    <mergeCell ref="H19:H20"/>
    <mergeCell ref="K19:K20"/>
    <mergeCell ref="M22:M23"/>
    <mergeCell ref="L16:L17"/>
    <mergeCell ref="L22:L23"/>
    <mergeCell ref="K23:K24"/>
    <mergeCell ref="L24:L25"/>
    <mergeCell ref="M24:M25"/>
    <mergeCell ref="D20:D21"/>
    <mergeCell ref="F20:F21"/>
    <mergeCell ref="G20:G21"/>
    <mergeCell ref="I20:I21"/>
    <mergeCell ref="J20:J21"/>
    <mergeCell ref="L20:L21"/>
    <mergeCell ref="M20:M21"/>
    <mergeCell ref="E21:E22"/>
    <mergeCell ref="H21:H22"/>
    <mergeCell ref="K21:K22"/>
    <mergeCell ref="B19:B20"/>
    <mergeCell ref="C19:C20"/>
    <mergeCell ref="B21:B22"/>
    <mergeCell ref="C21:C22"/>
    <mergeCell ref="D22:D23"/>
    <mergeCell ref="F22:F23"/>
    <mergeCell ref="G22:G23"/>
    <mergeCell ref="I22:I23"/>
    <mergeCell ref="J22:J23"/>
    <mergeCell ref="B23:B24"/>
    <mergeCell ref="C23:C24"/>
    <mergeCell ref="E23:E24"/>
    <mergeCell ref="H23:H24"/>
    <mergeCell ref="D24:D25"/>
    <mergeCell ref="F24:F25"/>
    <mergeCell ref="G24:G25"/>
    <mergeCell ref="D18:D19"/>
    <mergeCell ref="F18:F19"/>
    <mergeCell ref="G18:G19"/>
    <mergeCell ref="I24:I25"/>
    <mergeCell ref="J24:J25"/>
    <mergeCell ref="H17:H18"/>
    <mergeCell ref="E17:E18"/>
    <mergeCell ref="J36:J37"/>
    <mergeCell ref="K37:K38"/>
    <mergeCell ref="D34:D35"/>
    <mergeCell ref="F34:F35"/>
    <mergeCell ref="G34:G35"/>
    <mergeCell ref="I34:I35"/>
    <mergeCell ref="J34:J35"/>
    <mergeCell ref="H27:H28"/>
    <mergeCell ref="I16:I17"/>
    <mergeCell ref="J16:J17"/>
    <mergeCell ref="I18:I19"/>
    <mergeCell ref="J18:J19"/>
    <mergeCell ref="K17:K18"/>
    <mergeCell ref="M34:M35"/>
    <mergeCell ref="I30:I31"/>
    <mergeCell ref="J30:J31"/>
    <mergeCell ref="J32:J33"/>
    <mergeCell ref="L32:L33"/>
    <mergeCell ref="M32:M33"/>
    <mergeCell ref="H29:H30"/>
    <mergeCell ref="B25:B26"/>
    <mergeCell ref="C25:C26"/>
    <mergeCell ref="E25:E26"/>
    <mergeCell ref="H25:H26"/>
    <mergeCell ref="K25:K26"/>
    <mergeCell ref="D26:D27"/>
    <mergeCell ref="F26:F27"/>
    <mergeCell ref="G26:G27"/>
    <mergeCell ref="B35:B36"/>
    <mergeCell ref="C35:C36"/>
    <mergeCell ref="E35:E36"/>
    <mergeCell ref="H35:H36"/>
    <mergeCell ref="K35:K36"/>
    <mergeCell ref="D36:D37"/>
    <mergeCell ref="F36:F37"/>
    <mergeCell ref="G36:G37"/>
    <mergeCell ref="I36:I37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&amp;RVýkaz výměr SO 03</oddHeader>
    <oddFooter>&amp;L&amp;9&amp;F&amp;C&amp;A&amp;R&amp;P/&amp;N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42"/>
  <sheetViews>
    <sheetView topLeftCell="A22" zoomScale="115" zoomScaleNormal="115" workbookViewId="0">
      <selection activeCell="M34" sqref="M34"/>
    </sheetView>
  </sheetViews>
  <sheetFormatPr defaultRowHeight="15" x14ac:dyDescent="0.25"/>
  <cols>
    <col min="1" max="1" width="2.7109375" style="1" customWidth="1"/>
    <col min="2" max="2" width="4.7109375" style="1" customWidth="1"/>
    <col min="3" max="3" width="8.140625" style="1" bestFit="1" customWidth="1"/>
    <col min="4" max="4" width="7" style="1" customWidth="1"/>
    <col min="5" max="5" width="8.28515625" style="1" customWidth="1"/>
    <col min="6" max="6" width="7.140625" style="1" customWidth="1"/>
    <col min="7" max="7" width="8.85546875" style="1" customWidth="1"/>
    <col min="8" max="8" width="8.42578125" style="1" customWidth="1"/>
    <col min="9" max="9" width="11.42578125" style="1" bestFit="1" customWidth="1"/>
    <col min="10" max="10" width="9.140625" style="1"/>
    <col min="11" max="11" width="11.42578125" style="1" bestFit="1" customWidth="1"/>
    <col min="12" max="12" width="9.140625" style="1"/>
    <col min="13" max="13" width="11.28515625" style="1" customWidth="1"/>
    <col min="14" max="16384" width="9.140625" style="1"/>
  </cols>
  <sheetData>
    <row r="2" spans="2:14" ht="15.75" x14ac:dyDescent="0.25">
      <c r="B2" s="2" t="s">
        <v>40</v>
      </c>
      <c r="C2" s="54"/>
    </row>
    <row r="3" spans="2:14" ht="15.75" x14ac:dyDescent="0.25">
      <c r="B3" s="2" t="s">
        <v>41</v>
      </c>
      <c r="C3" s="54"/>
    </row>
    <row r="4" spans="2:14" ht="15.75" x14ac:dyDescent="0.25">
      <c r="B4" s="4" t="s">
        <v>39</v>
      </c>
    </row>
    <row r="5" spans="2:14" x14ac:dyDescent="0.25">
      <c r="B5" s="5" t="s">
        <v>80</v>
      </c>
    </row>
    <row r="6" spans="2:14" x14ac:dyDescent="0.25">
      <c r="B6" s="6" t="s">
        <v>1</v>
      </c>
    </row>
    <row r="7" spans="2:14" x14ac:dyDescent="0.25">
      <c r="B7" s="6" t="s">
        <v>2</v>
      </c>
    </row>
    <row r="8" spans="2:14" x14ac:dyDescent="0.25">
      <c r="B8" s="7" t="s">
        <v>252</v>
      </c>
    </row>
    <row r="9" spans="2:14" ht="8.25" customHeight="1" thickBot="1" x14ac:dyDescent="0.3">
      <c r="B9" s="18"/>
      <c r="C9" s="18"/>
      <c r="D9" s="18"/>
      <c r="E9" s="18"/>
      <c r="F9" s="29"/>
      <c r="G9" s="18"/>
      <c r="H9" s="30"/>
      <c r="I9" s="20"/>
      <c r="J9" s="29"/>
      <c r="K9" s="18"/>
      <c r="L9" s="29"/>
      <c r="M9" s="18"/>
      <c r="N9" s="29"/>
    </row>
    <row r="10" spans="2:14" ht="15.75" thickBot="1" x14ac:dyDescent="0.3">
      <c r="B10" s="251" t="s">
        <v>31</v>
      </c>
      <c r="C10" s="252"/>
      <c r="D10" s="255" t="s">
        <v>29</v>
      </c>
      <c r="E10" s="257" t="s">
        <v>179</v>
      </c>
      <c r="F10" s="257"/>
      <c r="G10" s="257"/>
      <c r="H10" s="30"/>
      <c r="I10" s="20"/>
      <c r="J10" s="29"/>
      <c r="K10" s="18"/>
      <c r="L10" s="29"/>
      <c r="M10" s="18"/>
      <c r="N10" s="29"/>
    </row>
    <row r="11" spans="2:14" ht="19.5" customHeight="1" thickBot="1" x14ac:dyDescent="0.3">
      <c r="B11" s="253"/>
      <c r="C11" s="254"/>
      <c r="D11" s="255"/>
      <c r="E11" s="258" t="s">
        <v>87</v>
      </c>
      <c r="F11" s="258"/>
      <c r="G11" s="258"/>
      <c r="H11" s="30"/>
      <c r="I11" s="20"/>
      <c r="J11" s="29"/>
      <c r="K11" s="18"/>
      <c r="L11" s="29"/>
      <c r="M11" s="18"/>
      <c r="N11" s="29"/>
    </row>
    <row r="12" spans="2:14" ht="23.25" customHeight="1" x14ac:dyDescent="0.25">
      <c r="B12" s="31" t="s">
        <v>25</v>
      </c>
      <c r="C12" s="31" t="s">
        <v>26</v>
      </c>
      <c r="D12" s="256"/>
      <c r="E12" s="32" t="s">
        <v>32</v>
      </c>
      <c r="F12" s="33" t="s">
        <v>33</v>
      </c>
      <c r="G12" s="32" t="s">
        <v>34</v>
      </c>
      <c r="H12" s="30"/>
      <c r="I12" s="20"/>
      <c r="J12" s="29"/>
      <c r="K12" s="18"/>
      <c r="L12" s="29"/>
      <c r="M12" s="18"/>
      <c r="N12" s="29"/>
    </row>
    <row r="13" spans="2:14" ht="15.75" thickBot="1" x14ac:dyDescent="0.3">
      <c r="B13" s="34"/>
      <c r="C13" s="35" t="s">
        <v>22</v>
      </c>
      <c r="D13" s="36" t="s">
        <v>14</v>
      </c>
      <c r="E13" s="35" t="s">
        <v>14</v>
      </c>
      <c r="F13" s="68" t="s">
        <v>14</v>
      </c>
      <c r="G13" s="35" t="s">
        <v>35</v>
      </c>
      <c r="H13" s="30"/>
      <c r="I13" s="20"/>
      <c r="J13" s="29"/>
      <c r="K13" s="18"/>
      <c r="L13" s="29"/>
      <c r="M13" s="18"/>
      <c r="N13" s="29"/>
    </row>
    <row r="14" spans="2:14" x14ac:dyDescent="0.25">
      <c r="B14" s="37" t="s">
        <v>30</v>
      </c>
      <c r="C14" s="38"/>
      <c r="D14" s="38"/>
      <c r="E14" s="39"/>
      <c r="F14" s="39"/>
      <c r="G14" s="40"/>
    </row>
    <row r="15" spans="2:14" ht="6.75" customHeight="1" x14ac:dyDescent="0.25">
      <c r="B15" s="259" t="s">
        <v>65</v>
      </c>
      <c r="C15" s="247">
        <v>0.18264</v>
      </c>
      <c r="D15" s="47"/>
      <c r="E15" s="250">
        <v>3.8</v>
      </c>
      <c r="F15" s="70"/>
      <c r="G15" s="73"/>
    </row>
    <row r="16" spans="2:14" ht="17.25" customHeight="1" x14ac:dyDescent="0.25">
      <c r="B16" s="259"/>
      <c r="C16" s="247"/>
      <c r="D16" s="248">
        <f>(C15-C17)*1000</f>
        <v>5.0099999999999865</v>
      </c>
      <c r="E16" s="250"/>
      <c r="F16" s="243">
        <f>(E15+E17)/2</f>
        <v>3.8</v>
      </c>
      <c r="G16" s="241">
        <f>F16*D16</f>
        <v>19.037999999999947</v>
      </c>
    </row>
    <row r="17" spans="2:7" ht="12.75" customHeight="1" x14ac:dyDescent="0.25">
      <c r="B17" s="246" t="s">
        <v>21</v>
      </c>
      <c r="C17" s="247">
        <v>0.17763000000000001</v>
      </c>
      <c r="D17" s="248"/>
      <c r="E17" s="245">
        <v>3.8</v>
      </c>
      <c r="F17" s="244"/>
      <c r="G17" s="242"/>
    </row>
    <row r="18" spans="2:7" ht="12.75" customHeight="1" x14ac:dyDescent="0.25">
      <c r="B18" s="246"/>
      <c r="C18" s="247"/>
      <c r="D18" s="248">
        <f>(C17-C19)*1000</f>
        <v>12.810000000000016</v>
      </c>
      <c r="E18" s="245">
        <f t="shared" ref="E18:E34" si="0">0.6+0.6</f>
        <v>1.2</v>
      </c>
      <c r="F18" s="243">
        <f t="shared" ref="F18:F34" si="1">(E17+E19)/2</f>
        <v>3.4</v>
      </c>
      <c r="G18" s="241">
        <f>F18*D18</f>
        <v>43.554000000000052</v>
      </c>
    </row>
    <row r="19" spans="2:7" ht="12.75" customHeight="1" x14ac:dyDescent="0.25">
      <c r="B19" s="246" t="s">
        <v>20</v>
      </c>
      <c r="C19" s="247">
        <v>0.16481999999999999</v>
      </c>
      <c r="D19" s="248"/>
      <c r="E19" s="245">
        <v>3</v>
      </c>
      <c r="F19" s="244"/>
      <c r="G19" s="242"/>
    </row>
    <row r="20" spans="2:7" ht="12.75" customHeight="1" x14ac:dyDescent="0.25">
      <c r="B20" s="246"/>
      <c r="C20" s="247"/>
      <c r="D20" s="248">
        <f>(C19-C21)*1000</f>
        <v>6.6199999999999868</v>
      </c>
      <c r="E20" s="245">
        <f t="shared" ref="E20:E36" si="2">0.6+0.6</f>
        <v>1.2</v>
      </c>
      <c r="F20" s="243">
        <f t="shared" ref="F20:F36" si="3">(E19+E21)/2</f>
        <v>3.4</v>
      </c>
      <c r="G20" s="241">
        <f>F20*D20</f>
        <v>22.507999999999953</v>
      </c>
    </row>
    <row r="21" spans="2:7" ht="12.75" customHeight="1" x14ac:dyDescent="0.25">
      <c r="B21" s="246" t="s">
        <v>19</v>
      </c>
      <c r="C21" s="247">
        <v>0.15820000000000001</v>
      </c>
      <c r="D21" s="248"/>
      <c r="E21" s="245">
        <v>3.8</v>
      </c>
      <c r="F21" s="244"/>
      <c r="G21" s="242"/>
    </row>
    <row r="22" spans="2:7" ht="15" customHeight="1" x14ac:dyDescent="0.25">
      <c r="B22" s="246"/>
      <c r="C22" s="247"/>
      <c r="D22" s="248">
        <f>(C21-C23)*1000</f>
        <v>19.990000000000009</v>
      </c>
      <c r="E22" s="245">
        <f t="shared" ref="E22:E38" si="4">0.6+0.6</f>
        <v>1.2</v>
      </c>
      <c r="F22" s="243">
        <f t="shared" si="3"/>
        <v>8.0500000000000007</v>
      </c>
      <c r="G22" s="241">
        <f>F22*D22</f>
        <v>160.91950000000008</v>
      </c>
    </row>
    <row r="23" spans="2:7" ht="12.75" customHeight="1" x14ac:dyDescent="0.25">
      <c r="B23" s="246" t="s">
        <v>76</v>
      </c>
      <c r="C23" s="247">
        <v>0.13821</v>
      </c>
      <c r="D23" s="248"/>
      <c r="E23" s="245">
        <v>12.3</v>
      </c>
      <c r="F23" s="244"/>
      <c r="G23" s="242"/>
    </row>
    <row r="24" spans="2:7" ht="12.75" customHeight="1" x14ac:dyDescent="0.25">
      <c r="B24" s="246"/>
      <c r="C24" s="247"/>
      <c r="D24" s="248">
        <f>(C23-C25)*1000</f>
        <v>24.929999999999993</v>
      </c>
      <c r="E24" s="245">
        <f t="shared" ref="E24" si="5">0.6+0.6</f>
        <v>1.2</v>
      </c>
      <c r="F24" s="243">
        <f t="shared" ref="F24" si="6">(E23+E25)/2</f>
        <v>6.15</v>
      </c>
      <c r="G24" s="241">
        <f>F24*D24</f>
        <v>153.31949999999998</v>
      </c>
    </row>
    <row r="25" spans="2:7" ht="12.75" customHeight="1" x14ac:dyDescent="0.25">
      <c r="B25" s="246" t="s">
        <v>18</v>
      </c>
      <c r="C25" s="247">
        <v>0.11328000000000001</v>
      </c>
      <c r="D25" s="248"/>
      <c r="E25" s="245">
        <v>0</v>
      </c>
      <c r="F25" s="244"/>
      <c r="G25" s="242"/>
    </row>
    <row r="26" spans="2:7" ht="12.75" customHeight="1" x14ac:dyDescent="0.25">
      <c r="B26" s="246"/>
      <c r="C26" s="247"/>
      <c r="D26" s="248">
        <f>(C25-C27)*1000</f>
        <v>7.2500000000000062</v>
      </c>
      <c r="E26" s="245">
        <f t="shared" ref="E26" si="7">0.6+0.6</f>
        <v>1.2</v>
      </c>
      <c r="F26" s="243">
        <f t="shared" ref="F26" si="8">(E25+E27)/2</f>
        <v>0</v>
      </c>
      <c r="G26" s="241">
        <f>F26*D26</f>
        <v>0</v>
      </c>
    </row>
    <row r="27" spans="2:7" ht="12.75" customHeight="1" x14ac:dyDescent="0.25">
      <c r="B27" s="246" t="s">
        <v>17</v>
      </c>
      <c r="C27" s="247">
        <v>0.10603</v>
      </c>
      <c r="D27" s="248"/>
      <c r="E27" s="245">
        <v>0</v>
      </c>
      <c r="F27" s="244"/>
      <c r="G27" s="242"/>
    </row>
    <row r="28" spans="2:7" ht="12.75" customHeight="1" x14ac:dyDescent="0.25">
      <c r="B28" s="260"/>
      <c r="C28" s="261"/>
      <c r="D28" s="248">
        <f>(C27-C29)*1000</f>
        <v>11.029999999999998</v>
      </c>
      <c r="E28" s="245">
        <f t="shared" ref="E28" si="9">0.6+0.6</f>
        <v>1.2</v>
      </c>
      <c r="F28" s="243">
        <f t="shared" ref="F28:F30" si="10">(E27+E29)/2</f>
        <v>0</v>
      </c>
      <c r="G28" s="241">
        <f>F28*D28</f>
        <v>0</v>
      </c>
    </row>
    <row r="29" spans="2:7" ht="15" customHeight="1" x14ac:dyDescent="0.25">
      <c r="B29" s="246" t="s">
        <v>16</v>
      </c>
      <c r="C29" s="247">
        <v>9.5000000000000001E-2</v>
      </c>
      <c r="D29" s="248"/>
      <c r="E29" s="245">
        <v>0</v>
      </c>
      <c r="F29" s="244"/>
      <c r="G29" s="242"/>
    </row>
    <row r="30" spans="2:7" ht="15" customHeight="1" x14ac:dyDescent="0.25">
      <c r="B30" s="260"/>
      <c r="C30" s="247"/>
      <c r="D30" s="248">
        <f>(C29-C31)*1000</f>
        <v>12.6</v>
      </c>
      <c r="E30" s="245">
        <f t="shared" ref="E30" si="11">0.6+0.6</f>
        <v>1.2</v>
      </c>
      <c r="F30" s="243">
        <f t="shared" si="10"/>
        <v>0</v>
      </c>
      <c r="G30" s="241">
        <f>F30*D30</f>
        <v>0</v>
      </c>
    </row>
    <row r="31" spans="2:7" ht="12.75" customHeight="1" x14ac:dyDescent="0.25">
      <c r="B31" s="246" t="s">
        <v>15</v>
      </c>
      <c r="C31" s="247">
        <v>8.2400000000000001E-2</v>
      </c>
      <c r="D31" s="248"/>
      <c r="E31" s="250">
        <v>0</v>
      </c>
      <c r="F31" s="244"/>
      <c r="G31" s="242"/>
    </row>
    <row r="32" spans="2:7" ht="12.75" customHeight="1" x14ac:dyDescent="0.25">
      <c r="B32" s="260"/>
      <c r="C32" s="247"/>
      <c r="D32" s="248">
        <f>(C31-C33)*1000</f>
        <v>36.250000000000007</v>
      </c>
      <c r="E32" s="250"/>
      <c r="F32" s="243">
        <f>(E31+E33)/2</f>
        <v>0</v>
      </c>
      <c r="G32" s="241">
        <f>F32*D32</f>
        <v>0</v>
      </c>
    </row>
    <row r="33" spans="2:7" ht="12.75" customHeight="1" x14ac:dyDescent="0.25">
      <c r="B33" s="249" t="s">
        <v>77</v>
      </c>
      <c r="C33" s="247">
        <v>4.6149999999999997E-2</v>
      </c>
      <c r="D33" s="248"/>
      <c r="E33" s="245">
        <v>0</v>
      </c>
      <c r="F33" s="244"/>
      <c r="G33" s="242"/>
    </row>
    <row r="34" spans="2:7" ht="12.75" customHeight="1" x14ac:dyDescent="0.25">
      <c r="B34" s="265"/>
      <c r="C34" s="247"/>
      <c r="D34" s="248">
        <f>(C33-C35)*1000</f>
        <v>11.08</v>
      </c>
      <c r="E34" s="245">
        <f t="shared" si="0"/>
        <v>1.2</v>
      </c>
      <c r="F34" s="243">
        <f t="shared" si="1"/>
        <v>0</v>
      </c>
      <c r="G34" s="241">
        <f>F34*D34</f>
        <v>0</v>
      </c>
    </row>
    <row r="35" spans="2:7" ht="12.75" customHeight="1" x14ac:dyDescent="0.25">
      <c r="B35" s="249" t="s">
        <v>78</v>
      </c>
      <c r="C35" s="247">
        <v>3.5069999999999997E-2</v>
      </c>
      <c r="D35" s="248"/>
      <c r="E35" s="245">
        <v>0</v>
      </c>
      <c r="F35" s="244"/>
      <c r="G35" s="242"/>
    </row>
    <row r="36" spans="2:7" ht="15" customHeight="1" x14ac:dyDescent="0.25">
      <c r="B36" s="249"/>
      <c r="C36" s="247"/>
      <c r="D36" s="248">
        <f>(C35-C37)*1000</f>
        <v>35.07</v>
      </c>
      <c r="E36" s="245">
        <f t="shared" si="2"/>
        <v>1.2</v>
      </c>
      <c r="F36" s="243">
        <f t="shared" si="3"/>
        <v>0</v>
      </c>
      <c r="G36" s="241">
        <f>F36*D36</f>
        <v>0</v>
      </c>
    </row>
    <row r="37" spans="2:7" ht="12.75" customHeight="1" x14ac:dyDescent="0.25">
      <c r="B37" s="249" t="s">
        <v>79</v>
      </c>
      <c r="C37" s="247">
        <v>0</v>
      </c>
      <c r="D37" s="248"/>
      <c r="E37" s="245">
        <v>0</v>
      </c>
      <c r="F37" s="244"/>
      <c r="G37" s="242"/>
    </row>
    <row r="38" spans="2:7" ht="12.75" customHeight="1" thickBot="1" x14ac:dyDescent="0.3">
      <c r="B38" s="249"/>
      <c r="C38" s="247"/>
      <c r="D38" s="67"/>
      <c r="E38" s="245">
        <f t="shared" si="4"/>
        <v>1.2</v>
      </c>
      <c r="F38" s="72"/>
      <c r="G38" s="74"/>
    </row>
    <row r="39" spans="2:7" ht="12.75" customHeight="1" x14ac:dyDescent="0.25">
      <c r="B39" s="41"/>
      <c r="C39" s="42"/>
      <c r="D39" s="42"/>
      <c r="E39" s="43"/>
      <c r="F39" s="43"/>
      <c r="G39" s="263">
        <f>SUM(G15:G38)</f>
        <v>399.33900000000006</v>
      </c>
    </row>
    <row r="40" spans="2:7" ht="12.75" customHeight="1" thickBot="1" x14ac:dyDescent="0.3">
      <c r="B40" s="44"/>
      <c r="C40" s="45"/>
      <c r="D40" s="45"/>
      <c r="E40" s="46"/>
      <c r="F40" s="46"/>
      <c r="G40" s="264"/>
    </row>
    <row r="42" spans="2:7" x14ac:dyDescent="0.25">
      <c r="C42" s="1" t="s">
        <v>83</v>
      </c>
      <c r="D42" s="75">
        <f>SUM(D16:D41)</f>
        <v>182.64</v>
      </c>
    </row>
  </sheetData>
  <mergeCells count="74">
    <mergeCell ref="B10:C11"/>
    <mergeCell ref="D10:D12"/>
    <mergeCell ref="E10:G10"/>
    <mergeCell ref="E11:G11"/>
    <mergeCell ref="F16:F17"/>
    <mergeCell ref="G16:G17"/>
    <mergeCell ref="B17:B18"/>
    <mergeCell ref="C17:C18"/>
    <mergeCell ref="E17:E18"/>
    <mergeCell ref="D18:D19"/>
    <mergeCell ref="B15:B16"/>
    <mergeCell ref="C15:C16"/>
    <mergeCell ref="E15:E16"/>
    <mergeCell ref="D16:D17"/>
    <mergeCell ref="E21:E22"/>
    <mergeCell ref="D22:D23"/>
    <mergeCell ref="F20:F21"/>
    <mergeCell ref="G20:G21"/>
    <mergeCell ref="F18:F19"/>
    <mergeCell ref="G18:G19"/>
    <mergeCell ref="F26:F27"/>
    <mergeCell ref="G26:G27"/>
    <mergeCell ref="F24:F25"/>
    <mergeCell ref="G24:G25"/>
    <mergeCell ref="B19:B20"/>
    <mergeCell ref="C19:C20"/>
    <mergeCell ref="E19:E20"/>
    <mergeCell ref="D20:D21"/>
    <mergeCell ref="F22:F23"/>
    <mergeCell ref="G22:G23"/>
    <mergeCell ref="B23:B24"/>
    <mergeCell ref="C23:C24"/>
    <mergeCell ref="E23:E24"/>
    <mergeCell ref="D24:D25"/>
    <mergeCell ref="B21:B22"/>
    <mergeCell ref="C21:C22"/>
    <mergeCell ref="F30:F31"/>
    <mergeCell ref="G30:G31"/>
    <mergeCell ref="B25:B26"/>
    <mergeCell ref="C25:C26"/>
    <mergeCell ref="E25:E26"/>
    <mergeCell ref="D26:D27"/>
    <mergeCell ref="F28:F29"/>
    <mergeCell ref="G28:G29"/>
    <mergeCell ref="B29:B30"/>
    <mergeCell ref="C29:C30"/>
    <mergeCell ref="E29:E30"/>
    <mergeCell ref="D30:D31"/>
    <mergeCell ref="B27:B28"/>
    <mergeCell ref="C27:C28"/>
    <mergeCell ref="E27:E28"/>
    <mergeCell ref="D28:D29"/>
    <mergeCell ref="G39:G40"/>
    <mergeCell ref="F36:F37"/>
    <mergeCell ref="G36:G37"/>
    <mergeCell ref="B31:B32"/>
    <mergeCell ref="C31:C32"/>
    <mergeCell ref="E31:E32"/>
    <mergeCell ref="D32:D33"/>
    <mergeCell ref="F34:F35"/>
    <mergeCell ref="G34:G35"/>
    <mergeCell ref="B35:B36"/>
    <mergeCell ref="C35:C36"/>
    <mergeCell ref="E35:E36"/>
    <mergeCell ref="D36:D37"/>
    <mergeCell ref="B33:B34"/>
    <mergeCell ref="F32:F33"/>
    <mergeCell ref="G32:G33"/>
    <mergeCell ref="B37:B38"/>
    <mergeCell ref="C37:C38"/>
    <mergeCell ref="E37:E38"/>
    <mergeCell ref="C33:C34"/>
    <mergeCell ref="E33:E34"/>
    <mergeCell ref="D34:D3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&amp;RVýkaz výměr SO 03</oddHeader>
    <oddFooter>&amp;L&amp;9&amp;F&amp;C&amp;A&amp;R&amp;P/&amp;N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59"/>
  <sheetViews>
    <sheetView topLeftCell="A46" zoomScale="120" zoomScaleNormal="120" workbookViewId="0">
      <selection activeCell="H322" sqref="H322"/>
    </sheetView>
  </sheetViews>
  <sheetFormatPr defaultColWidth="10" defaultRowHeight="12.75" x14ac:dyDescent="0.2"/>
  <cols>
    <col min="1" max="1" width="6.140625" style="113" customWidth="1"/>
    <col min="2" max="2" width="6.7109375" style="136" customWidth="1"/>
    <col min="3" max="3" width="9.28515625" style="136" customWidth="1"/>
    <col min="4" max="4" width="6.85546875" style="136" customWidth="1"/>
    <col min="5" max="5" width="7.7109375" style="136" customWidth="1"/>
    <col min="6" max="6" width="7.42578125" style="136" customWidth="1"/>
    <col min="7" max="7" width="9" style="136" customWidth="1"/>
    <col min="8" max="8" width="7.7109375" style="136" customWidth="1"/>
    <col min="9" max="9" width="7.42578125" style="136" customWidth="1"/>
    <col min="10" max="10" width="9" style="136" customWidth="1"/>
    <col min="11" max="253" width="10" style="113"/>
    <col min="254" max="254" width="6.140625" style="113" customWidth="1"/>
    <col min="255" max="255" width="4.42578125" style="113" customWidth="1"/>
    <col min="256" max="256" width="9.28515625" style="113" customWidth="1"/>
    <col min="257" max="257" width="6.85546875" style="113" customWidth="1"/>
    <col min="258" max="258" width="7.7109375" style="113" customWidth="1"/>
    <col min="259" max="259" width="7.42578125" style="113" customWidth="1"/>
    <col min="260" max="260" width="9" style="113" customWidth="1"/>
    <col min="261" max="261" width="7.7109375" style="113" customWidth="1"/>
    <col min="262" max="262" width="7.42578125" style="113" customWidth="1"/>
    <col min="263" max="263" width="9" style="113" customWidth="1"/>
    <col min="264" max="264" width="7.7109375" style="113" customWidth="1"/>
    <col min="265" max="265" width="7.42578125" style="113" customWidth="1"/>
    <col min="266" max="266" width="9" style="113" customWidth="1"/>
    <col min="267" max="509" width="10" style="113"/>
    <col min="510" max="510" width="6.140625" style="113" customWidth="1"/>
    <col min="511" max="511" width="4.42578125" style="113" customWidth="1"/>
    <col min="512" max="512" width="9.28515625" style="113" customWidth="1"/>
    <col min="513" max="513" width="6.85546875" style="113" customWidth="1"/>
    <col min="514" max="514" width="7.7109375" style="113" customWidth="1"/>
    <col min="515" max="515" width="7.42578125" style="113" customWidth="1"/>
    <col min="516" max="516" width="9" style="113" customWidth="1"/>
    <col min="517" max="517" width="7.7109375" style="113" customWidth="1"/>
    <col min="518" max="518" width="7.42578125" style="113" customWidth="1"/>
    <col min="519" max="519" width="9" style="113" customWidth="1"/>
    <col min="520" max="520" width="7.7109375" style="113" customWidth="1"/>
    <col min="521" max="521" width="7.42578125" style="113" customWidth="1"/>
    <col min="522" max="522" width="9" style="113" customWidth="1"/>
    <col min="523" max="765" width="10" style="113"/>
    <col min="766" max="766" width="6.140625" style="113" customWidth="1"/>
    <col min="767" max="767" width="4.42578125" style="113" customWidth="1"/>
    <col min="768" max="768" width="9.28515625" style="113" customWidth="1"/>
    <col min="769" max="769" width="6.85546875" style="113" customWidth="1"/>
    <col min="770" max="770" width="7.7109375" style="113" customWidth="1"/>
    <col min="771" max="771" width="7.42578125" style="113" customWidth="1"/>
    <col min="772" max="772" width="9" style="113" customWidth="1"/>
    <col min="773" max="773" width="7.7109375" style="113" customWidth="1"/>
    <col min="774" max="774" width="7.42578125" style="113" customWidth="1"/>
    <col min="775" max="775" width="9" style="113" customWidth="1"/>
    <col min="776" max="776" width="7.7109375" style="113" customWidth="1"/>
    <col min="777" max="777" width="7.42578125" style="113" customWidth="1"/>
    <col min="778" max="778" width="9" style="113" customWidth="1"/>
    <col min="779" max="1021" width="10" style="113"/>
    <col min="1022" max="1022" width="6.140625" style="113" customWidth="1"/>
    <col min="1023" max="1023" width="4.42578125" style="113" customWidth="1"/>
    <col min="1024" max="1024" width="9.28515625" style="113" customWidth="1"/>
    <col min="1025" max="1025" width="6.85546875" style="113" customWidth="1"/>
    <col min="1026" max="1026" width="7.7109375" style="113" customWidth="1"/>
    <col min="1027" max="1027" width="7.42578125" style="113" customWidth="1"/>
    <col min="1028" max="1028" width="9" style="113" customWidth="1"/>
    <col min="1029" max="1029" width="7.7109375" style="113" customWidth="1"/>
    <col min="1030" max="1030" width="7.42578125" style="113" customWidth="1"/>
    <col min="1031" max="1031" width="9" style="113" customWidth="1"/>
    <col min="1032" max="1032" width="7.7109375" style="113" customWidth="1"/>
    <col min="1033" max="1033" width="7.42578125" style="113" customWidth="1"/>
    <col min="1034" max="1034" width="9" style="113" customWidth="1"/>
    <col min="1035" max="1277" width="10" style="113"/>
    <col min="1278" max="1278" width="6.140625" style="113" customWidth="1"/>
    <col min="1279" max="1279" width="4.42578125" style="113" customWidth="1"/>
    <col min="1280" max="1280" width="9.28515625" style="113" customWidth="1"/>
    <col min="1281" max="1281" width="6.85546875" style="113" customWidth="1"/>
    <col min="1282" max="1282" width="7.7109375" style="113" customWidth="1"/>
    <col min="1283" max="1283" width="7.42578125" style="113" customWidth="1"/>
    <col min="1284" max="1284" width="9" style="113" customWidth="1"/>
    <col min="1285" max="1285" width="7.7109375" style="113" customWidth="1"/>
    <col min="1286" max="1286" width="7.42578125" style="113" customWidth="1"/>
    <col min="1287" max="1287" width="9" style="113" customWidth="1"/>
    <col min="1288" max="1288" width="7.7109375" style="113" customWidth="1"/>
    <col min="1289" max="1289" width="7.42578125" style="113" customWidth="1"/>
    <col min="1290" max="1290" width="9" style="113" customWidth="1"/>
    <col min="1291" max="1533" width="10" style="113"/>
    <col min="1534" max="1534" width="6.140625" style="113" customWidth="1"/>
    <col min="1535" max="1535" width="4.42578125" style="113" customWidth="1"/>
    <col min="1536" max="1536" width="9.28515625" style="113" customWidth="1"/>
    <col min="1537" max="1537" width="6.85546875" style="113" customWidth="1"/>
    <col min="1538" max="1538" width="7.7109375" style="113" customWidth="1"/>
    <col min="1539" max="1539" width="7.42578125" style="113" customWidth="1"/>
    <col min="1540" max="1540" width="9" style="113" customWidth="1"/>
    <col min="1541" max="1541" width="7.7109375" style="113" customWidth="1"/>
    <col min="1542" max="1542" width="7.42578125" style="113" customWidth="1"/>
    <col min="1543" max="1543" width="9" style="113" customWidth="1"/>
    <col min="1544" max="1544" width="7.7109375" style="113" customWidth="1"/>
    <col min="1545" max="1545" width="7.42578125" style="113" customWidth="1"/>
    <col min="1546" max="1546" width="9" style="113" customWidth="1"/>
    <col min="1547" max="1789" width="10" style="113"/>
    <col min="1790" max="1790" width="6.140625" style="113" customWidth="1"/>
    <col min="1791" max="1791" width="4.42578125" style="113" customWidth="1"/>
    <col min="1792" max="1792" width="9.28515625" style="113" customWidth="1"/>
    <col min="1793" max="1793" width="6.85546875" style="113" customWidth="1"/>
    <col min="1794" max="1794" width="7.7109375" style="113" customWidth="1"/>
    <col min="1795" max="1795" width="7.42578125" style="113" customWidth="1"/>
    <col min="1796" max="1796" width="9" style="113" customWidth="1"/>
    <col min="1797" max="1797" width="7.7109375" style="113" customWidth="1"/>
    <col min="1798" max="1798" width="7.42578125" style="113" customWidth="1"/>
    <col min="1799" max="1799" width="9" style="113" customWidth="1"/>
    <col min="1800" max="1800" width="7.7109375" style="113" customWidth="1"/>
    <col min="1801" max="1801" width="7.42578125" style="113" customWidth="1"/>
    <col min="1802" max="1802" width="9" style="113" customWidth="1"/>
    <col min="1803" max="2045" width="10" style="113"/>
    <col min="2046" max="2046" width="6.140625" style="113" customWidth="1"/>
    <col min="2047" max="2047" width="4.42578125" style="113" customWidth="1"/>
    <col min="2048" max="2048" width="9.28515625" style="113" customWidth="1"/>
    <col min="2049" max="2049" width="6.85546875" style="113" customWidth="1"/>
    <col min="2050" max="2050" width="7.7109375" style="113" customWidth="1"/>
    <col min="2051" max="2051" width="7.42578125" style="113" customWidth="1"/>
    <col min="2052" max="2052" width="9" style="113" customWidth="1"/>
    <col min="2053" max="2053" width="7.7109375" style="113" customWidth="1"/>
    <col min="2054" max="2054" width="7.42578125" style="113" customWidth="1"/>
    <col min="2055" max="2055" width="9" style="113" customWidth="1"/>
    <col min="2056" max="2056" width="7.7109375" style="113" customWidth="1"/>
    <col min="2057" max="2057" width="7.42578125" style="113" customWidth="1"/>
    <col min="2058" max="2058" width="9" style="113" customWidth="1"/>
    <col min="2059" max="2301" width="10" style="113"/>
    <col min="2302" max="2302" width="6.140625" style="113" customWidth="1"/>
    <col min="2303" max="2303" width="4.42578125" style="113" customWidth="1"/>
    <col min="2304" max="2304" width="9.28515625" style="113" customWidth="1"/>
    <col min="2305" max="2305" width="6.85546875" style="113" customWidth="1"/>
    <col min="2306" max="2306" width="7.7109375" style="113" customWidth="1"/>
    <col min="2307" max="2307" width="7.42578125" style="113" customWidth="1"/>
    <col min="2308" max="2308" width="9" style="113" customWidth="1"/>
    <col min="2309" max="2309" width="7.7109375" style="113" customWidth="1"/>
    <col min="2310" max="2310" width="7.42578125" style="113" customWidth="1"/>
    <col min="2311" max="2311" width="9" style="113" customWidth="1"/>
    <col min="2312" max="2312" width="7.7109375" style="113" customWidth="1"/>
    <col min="2313" max="2313" width="7.42578125" style="113" customWidth="1"/>
    <col min="2314" max="2314" width="9" style="113" customWidth="1"/>
    <col min="2315" max="2557" width="10" style="113"/>
    <col min="2558" max="2558" width="6.140625" style="113" customWidth="1"/>
    <col min="2559" max="2559" width="4.42578125" style="113" customWidth="1"/>
    <col min="2560" max="2560" width="9.28515625" style="113" customWidth="1"/>
    <col min="2561" max="2561" width="6.85546875" style="113" customWidth="1"/>
    <col min="2562" max="2562" width="7.7109375" style="113" customWidth="1"/>
    <col min="2563" max="2563" width="7.42578125" style="113" customWidth="1"/>
    <col min="2564" max="2564" width="9" style="113" customWidth="1"/>
    <col min="2565" max="2565" width="7.7109375" style="113" customWidth="1"/>
    <col min="2566" max="2566" width="7.42578125" style="113" customWidth="1"/>
    <col min="2567" max="2567" width="9" style="113" customWidth="1"/>
    <col min="2568" max="2568" width="7.7109375" style="113" customWidth="1"/>
    <col min="2569" max="2569" width="7.42578125" style="113" customWidth="1"/>
    <col min="2570" max="2570" width="9" style="113" customWidth="1"/>
    <col min="2571" max="2813" width="10" style="113"/>
    <col min="2814" max="2814" width="6.140625" style="113" customWidth="1"/>
    <col min="2815" max="2815" width="4.42578125" style="113" customWidth="1"/>
    <col min="2816" max="2816" width="9.28515625" style="113" customWidth="1"/>
    <col min="2817" max="2817" width="6.85546875" style="113" customWidth="1"/>
    <col min="2818" max="2818" width="7.7109375" style="113" customWidth="1"/>
    <col min="2819" max="2819" width="7.42578125" style="113" customWidth="1"/>
    <col min="2820" max="2820" width="9" style="113" customWidth="1"/>
    <col min="2821" max="2821" width="7.7109375" style="113" customWidth="1"/>
    <col min="2822" max="2822" width="7.42578125" style="113" customWidth="1"/>
    <col min="2823" max="2823" width="9" style="113" customWidth="1"/>
    <col min="2824" max="2824" width="7.7109375" style="113" customWidth="1"/>
    <col min="2825" max="2825" width="7.42578125" style="113" customWidth="1"/>
    <col min="2826" max="2826" width="9" style="113" customWidth="1"/>
    <col min="2827" max="3069" width="10" style="113"/>
    <col min="3070" max="3070" width="6.140625" style="113" customWidth="1"/>
    <col min="3071" max="3071" width="4.42578125" style="113" customWidth="1"/>
    <col min="3072" max="3072" width="9.28515625" style="113" customWidth="1"/>
    <col min="3073" max="3073" width="6.85546875" style="113" customWidth="1"/>
    <col min="3074" max="3074" width="7.7109375" style="113" customWidth="1"/>
    <col min="3075" max="3075" width="7.42578125" style="113" customWidth="1"/>
    <col min="3076" max="3076" width="9" style="113" customWidth="1"/>
    <col min="3077" max="3077" width="7.7109375" style="113" customWidth="1"/>
    <col min="3078" max="3078" width="7.42578125" style="113" customWidth="1"/>
    <col min="3079" max="3079" width="9" style="113" customWidth="1"/>
    <col min="3080" max="3080" width="7.7109375" style="113" customWidth="1"/>
    <col min="3081" max="3081" width="7.42578125" style="113" customWidth="1"/>
    <col min="3082" max="3082" width="9" style="113" customWidth="1"/>
    <col min="3083" max="3325" width="10" style="113"/>
    <col min="3326" max="3326" width="6.140625" style="113" customWidth="1"/>
    <col min="3327" max="3327" width="4.42578125" style="113" customWidth="1"/>
    <col min="3328" max="3328" width="9.28515625" style="113" customWidth="1"/>
    <col min="3329" max="3329" width="6.85546875" style="113" customWidth="1"/>
    <col min="3330" max="3330" width="7.7109375" style="113" customWidth="1"/>
    <col min="3331" max="3331" width="7.42578125" style="113" customWidth="1"/>
    <col min="3332" max="3332" width="9" style="113" customWidth="1"/>
    <col min="3333" max="3333" width="7.7109375" style="113" customWidth="1"/>
    <col min="3334" max="3334" width="7.42578125" style="113" customWidth="1"/>
    <col min="3335" max="3335" width="9" style="113" customWidth="1"/>
    <col min="3336" max="3336" width="7.7109375" style="113" customWidth="1"/>
    <col min="3337" max="3337" width="7.42578125" style="113" customWidth="1"/>
    <col min="3338" max="3338" width="9" style="113" customWidth="1"/>
    <col min="3339" max="3581" width="10" style="113"/>
    <col min="3582" max="3582" width="6.140625" style="113" customWidth="1"/>
    <col min="3583" max="3583" width="4.42578125" style="113" customWidth="1"/>
    <col min="3584" max="3584" width="9.28515625" style="113" customWidth="1"/>
    <col min="3585" max="3585" width="6.85546875" style="113" customWidth="1"/>
    <col min="3586" max="3586" width="7.7109375" style="113" customWidth="1"/>
    <col min="3587" max="3587" width="7.42578125" style="113" customWidth="1"/>
    <col min="3588" max="3588" width="9" style="113" customWidth="1"/>
    <col min="3589" max="3589" width="7.7109375" style="113" customWidth="1"/>
    <col min="3590" max="3590" width="7.42578125" style="113" customWidth="1"/>
    <col min="3591" max="3591" width="9" style="113" customWidth="1"/>
    <col min="3592" max="3592" width="7.7109375" style="113" customWidth="1"/>
    <col min="3593" max="3593" width="7.42578125" style="113" customWidth="1"/>
    <col min="3594" max="3594" width="9" style="113" customWidth="1"/>
    <col min="3595" max="3837" width="10" style="113"/>
    <col min="3838" max="3838" width="6.140625" style="113" customWidth="1"/>
    <col min="3839" max="3839" width="4.42578125" style="113" customWidth="1"/>
    <col min="3840" max="3840" width="9.28515625" style="113" customWidth="1"/>
    <col min="3841" max="3841" width="6.85546875" style="113" customWidth="1"/>
    <col min="3842" max="3842" width="7.7109375" style="113" customWidth="1"/>
    <col min="3843" max="3843" width="7.42578125" style="113" customWidth="1"/>
    <col min="3844" max="3844" width="9" style="113" customWidth="1"/>
    <col min="3845" max="3845" width="7.7109375" style="113" customWidth="1"/>
    <col min="3846" max="3846" width="7.42578125" style="113" customWidth="1"/>
    <col min="3847" max="3847" width="9" style="113" customWidth="1"/>
    <col min="3848" max="3848" width="7.7109375" style="113" customWidth="1"/>
    <col min="3849" max="3849" width="7.42578125" style="113" customWidth="1"/>
    <col min="3850" max="3850" width="9" style="113" customWidth="1"/>
    <col min="3851" max="4093" width="10" style="113"/>
    <col min="4094" max="4094" width="6.140625" style="113" customWidth="1"/>
    <col min="4095" max="4095" width="4.42578125" style="113" customWidth="1"/>
    <col min="4096" max="4096" width="9.28515625" style="113" customWidth="1"/>
    <col min="4097" max="4097" width="6.85546875" style="113" customWidth="1"/>
    <col min="4098" max="4098" width="7.7109375" style="113" customWidth="1"/>
    <col min="4099" max="4099" width="7.42578125" style="113" customWidth="1"/>
    <col min="4100" max="4100" width="9" style="113" customWidth="1"/>
    <col min="4101" max="4101" width="7.7109375" style="113" customWidth="1"/>
    <col min="4102" max="4102" width="7.42578125" style="113" customWidth="1"/>
    <col min="4103" max="4103" width="9" style="113" customWidth="1"/>
    <col min="4104" max="4104" width="7.7109375" style="113" customWidth="1"/>
    <col min="4105" max="4105" width="7.42578125" style="113" customWidth="1"/>
    <col min="4106" max="4106" width="9" style="113" customWidth="1"/>
    <col min="4107" max="4349" width="10" style="113"/>
    <col min="4350" max="4350" width="6.140625" style="113" customWidth="1"/>
    <col min="4351" max="4351" width="4.42578125" style="113" customWidth="1"/>
    <col min="4352" max="4352" width="9.28515625" style="113" customWidth="1"/>
    <col min="4353" max="4353" width="6.85546875" style="113" customWidth="1"/>
    <col min="4354" max="4354" width="7.7109375" style="113" customWidth="1"/>
    <col min="4355" max="4355" width="7.42578125" style="113" customWidth="1"/>
    <col min="4356" max="4356" width="9" style="113" customWidth="1"/>
    <col min="4357" max="4357" width="7.7109375" style="113" customWidth="1"/>
    <col min="4358" max="4358" width="7.42578125" style="113" customWidth="1"/>
    <col min="4359" max="4359" width="9" style="113" customWidth="1"/>
    <col min="4360" max="4360" width="7.7109375" style="113" customWidth="1"/>
    <col min="4361" max="4361" width="7.42578125" style="113" customWidth="1"/>
    <col min="4362" max="4362" width="9" style="113" customWidth="1"/>
    <col min="4363" max="4605" width="10" style="113"/>
    <col min="4606" max="4606" width="6.140625" style="113" customWidth="1"/>
    <col min="4607" max="4607" width="4.42578125" style="113" customWidth="1"/>
    <col min="4608" max="4608" width="9.28515625" style="113" customWidth="1"/>
    <col min="4609" max="4609" width="6.85546875" style="113" customWidth="1"/>
    <col min="4610" max="4610" width="7.7109375" style="113" customWidth="1"/>
    <col min="4611" max="4611" width="7.42578125" style="113" customWidth="1"/>
    <col min="4612" max="4612" width="9" style="113" customWidth="1"/>
    <col min="4613" max="4613" width="7.7109375" style="113" customWidth="1"/>
    <col min="4614" max="4614" width="7.42578125" style="113" customWidth="1"/>
    <col min="4615" max="4615" width="9" style="113" customWidth="1"/>
    <col min="4616" max="4616" width="7.7109375" style="113" customWidth="1"/>
    <col min="4617" max="4617" width="7.42578125" style="113" customWidth="1"/>
    <col min="4618" max="4618" width="9" style="113" customWidth="1"/>
    <col min="4619" max="4861" width="10" style="113"/>
    <col min="4862" max="4862" width="6.140625" style="113" customWidth="1"/>
    <col min="4863" max="4863" width="4.42578125" style="113" customWidth="1"/>
    <col min="4864" max="4864" width="9.28515625" style="113" customWidth="1"/>
    <col min="4865" max="4865" width="6.85546875" style="113" customWidth="1"/>
    <col min="4866" max="4866" width="7.7109375" style="113" customWidth="1"/>
    <col min="4867" max="4867" width="7.42578125" style="113" customWidth="1"/>
    <col min="4868" max="4868" width="9" style="113" customWidth="1"/>
    <col min="4869" max="4869" width="7.7109375" style="113" customWidth="1"/>
    <col min="4870" max="4870" width="7.42578125" style="113" customWidth="1"/>
    <col min="4871" max="4871" width="9" style="113" customWidth="1"/>
    <col min="4872" max="4872" width="7.7109375" style="113" customWidth="1"/>
    <col min="4873" max="4873" width="7.42578125" style="113" customWidth="1"/>
    <col min="4874" max="4874" width="9" style="113" customWidth="1"/>
    <col min="4875" max="5117" width="10" style="113"/>
    <col min="5118" max="5118" width="6.140625" style="113" customWidth="1"/>
    <col min="5119" max="5119" width="4.42578125" style="113" customWidth="1"/>
    <col min="5120" max="5120" width="9.28515625" style="113" customWidth="1"/>
    <col min="5121" max="5121" width="6.85546875" style="113" customWidth="1"/>
    <col min="5122" max="5122" width="7.7109375" style="113" customWidth="1"/>
    <col min="5123" max="5123" width="7.42578125" style="113" customWidth="1"/>
    <col min="5124" max="5124" width="9" style="113" customWidth="1"/>
    <col min="5125" max="5125" width="7.7109375" style="113" customWidth="1"/>
    <col min="5126" max="5126" width="7.42578125" style="113" customWidth="1"/>
    <col min="5127" max="5127" width="9" style="113" customWidth="1"/>
    <col min="5128" max="5128" width="7.7109375" style="113" customWidth="1"/>
    <col min="5129" max="5129" width="7.42578125" style="113" customWidth="1"/>
    <col min="5130" max="5130" width="9" style="113" customWidth="1"/>
    <col min="5131" max="5373" width="10" style="113"/>
    <col min="5374" max="5374" width="6.140625" style="113" customWidth="1"/>
    <col min="5375" max="5375" width="4.42578125" style="113" customWidth="1"/>
    <col min="5376" max="5376" width="9.28515625" style="113" customWidth="1"/>
    <col min="5377" max="5377" width="6.85546875" style="113" customWidth="1"/>
    <col min="5378" max="5378" width="7.7109375" style="113" customWidth="1"/>
    <col min="5379" max="5379" width="7.42578125" style="113" customWidth="1"/>
    <col min="5380" max="5380" width="9" style="113" customWidth="1"/>
    <col min="5381" max="5381" width="7.7109375" style="113" customWidth="1"/>
    <col min="5382" max="5382" width="7.42578125" style="113" customWidth="1"/>
    <col min="5383" max="5383" width="9" style="113" customWidth="1"/>
    <col min="5384" max="5384" width="7.7109375" style="113" customWidth="1"/>
    <col min="5385" max="5385" width="7.42578125" style="113" customWidth="1"/>
    <col min="5386" max="5386" width="9" style="113" customWidth="1"/>
    <col min="5387" max="5629" width="10" style="113"/>
    <col min="5630" max="5630" width="6.140625" style="113" customWidth="1"/>
    <col min="5631" max="5631" width="4.42578125" style="113" customWidth="1"/>
    <col min="5632" max="5632" width="9.28515625" style="113" customWidth="1"/>
    <col min="5633" max="5633" width="6.85546875" style="113" customWidth="1"/>
    <col min="5634" max="5634" width="7.7109375" style="113" customWidth="1"/>
    <col min="5635" max="5635" width="7.42578125" style="113" customWidth="1"/>
    <col min="5636" max="5636" width="9" style="113" customWidth="1"/>
    <col min="5637" max="5637" width="7.7109375" style="113" customWidth="1"/>
    <col min="5638" max="5638" width="7.42578125" style="113" customWidth="1"/>
    <col min="5639" max="5639" width="9" style="113" customWidth="1"/>
    <col min="5640" max="5640" width="7.7109375" style="113" customWidth="1"/>
    <col min="5641" max="5641" width="7.42578125" style="113" customWidth="1"/>
    <col min="5642" max="5642" width="9" style="113" customWidth="1"/>
    <col min="5643" max="5885" width="10" style="113"/>
    <col min="5886" max="5886" width="6.140625" style="113" customWidth="1"/>
    <col min="5887" max="5887" width="4.42578125" style="113" customWidth="1"/>
    <col min="5888" max="5888" width="9.28515625" style="113" customWidth="1"/>
    <col min="5889" max="5889" width="6.85546875" style="113" customWidth="1"/>
    <col min="5890" max="5890" width="7.7109375" style="113" customWidth="1"/>
    <col min="5891" max="5891" width="7.42578125" style="113" customWidth="1"/>
    <col min="5892" max="5892" width="9" style="113" customWidth="1"/>
    <col min="5893" max="5893" width="7.7109375" style="113" customWidth="1"/>
    <col min="5894" max="5894" width="7.42578125" style="113" customWidth="1"/>
    <col min="5895" max="5895" width="9" style="113" customWidth="1"/>
    <col min="5896" max="5896" width="7.7109375" style="113" customWidth="1"/>
    <col min="5897" max="5897" width="7.42578125" style="113" customWidth="1"/>
    <col min="5898" max="5898" width="9" style="113" customWidth="1"/>
    <col min="5899" max="6141" width="10" style="113"/>
    <col min="6142" max="6142" width="6.140625" style="113" customWidth="1"/>
    <col min="6143" max="6143" width="4.42578125" style="113" customWidth="1"/>
    <col min="6144" max="6144" width="9.28515625" style="113" customWidth="1"/>
    <col min="6145" max="6145" width="6.85546875" style="113" customWidth="1"/>
    <col min="6146" max="6146" width="7.7109375" style="113" customWidth="1"/>
    <col min="6147" max="6147" width="7.42578125" style="113" customWidth="1"/>
    <col min="6148" max="6148" width="9" style="113" customWidth="1"/>
    <col min="6149" max="6149" width="7.7109375" style="113" customWidth="1"/>
    <col min="6150" max="6150" width="7.42578125" style="113" customWidth="1"/>
    <col min="6151" max="6151" width="9" style="113" customWidth="1"/>
    <col min="6152" max="6152" width="7.7109375" style="113" customWidth="1"/>
    <col min="6153" max="6153" width="7.42578125" style="113" customWidth="1"/>
    <col min="6154" max="6154" width="9" style="113" customWidth="1"/>
    <col min="6155" max="6397" width="10" style="113"/>
    <col min="6398" max="6398" width="6.140625" style="113" customWidth="1"/>
    <col min="6399" max="6399" width="4.42578125" style="113" customWidth="1"/>
    <col min="6400" max="6400" width="9.28515625" style="113" customWidth="1"/>
    <col min="6401" max="6401" width="6.85546875" style="113" customWidth="1"/>
    <col min="6402" max="6402" width="7.7109375" style="113" customWidth="1"/>
    <col min="6403" max="6403" width="7.42578125" style="113" customWidth="1"/>
    <col min="6404" max="6404" width="9" style="113" customWidth="1"/>
    <col min="6405" max="6405" width="7.7109375" style="113" customWidth="1"/>
    <col min="6406" max="6406" width="7.42578125" style="113" customWidth="1"/>
    <col min="6407" max="6407" width="9" style="113" customWidth="1"/>
    <col min="6408" max="6408" width="7.7109375" style="113" customWidth="1"/>
    <col min="6409" max="6409" width="7.42578125" style="113" customWidth="1"/>
    <col min="6410" max="6410" width="9" style="113" customWidth="1"/>
    <col min="6411" max="6653" width="10" style="113"/>
    <col min="6654" max="6654" width="6.140625" style="113" customWidth="1"/>
    <col min="6655" max="6655" width="4.42578125" style="113" customWidth="1"/>
    <col min="6656" max="6656" width="9.28515625" style="113" customWidth="1"/>
    <col min="6657" max="6657" width="6.85546875" style="113" customWidth="1"/>
    <col min="6658" max="6658" width="7.7109375" style="113" customWidth="1"/>
    <col min="6659" max="6659" width="7.42578125" style="113" customWidth="1"/>
    <col min="6660" max="6660" width="9" style="113" customWidth="1"/>
    <col min="6661" max="6661" width="7.7109375" style="113" customWidth="1"/>
    <col min="6662" max="6662" width="7.42578125" style="113" customWidth="1"/>
    <col min="6663" max="6663" width="9" style="113" customWidth="1"/>
    <col min="6664" max="6664" width="7.7109375" style="113" customWidth="1"/>
    <col min="6665" max="6665" width="7.42578125" style="113" customWidth="1"/>
    <col min="6666" max="6666" width="9" style="113" customWidth="1"/>
    <col min="6667" max="6909" width="10" style="113"/>
    <col min="6910" max="6910" width="6.140625" style="113" customWidth="1"/>
    <col min="6911" max="6911" width="4.42578125" style="113" customWidth="1"/>
    <col min="6912" max="6912" width="9.28515625" style="113" customWidth="1"/>
    <col min="6913" max="6913" width="6.85546875" style="113" customWidth="1"/>
    <col min="6914" max="6914" width="7.7109375" style="113" customWidth="1"/>
    <col min="6915" max="6915" width="7.42578125" style="113" customWidth="1"/>
    <col min="6916" max="6916" width="9" style="113" customWidth="1"/>
    <col min="6917" max="6917" width="7.7109375" style="113" customWidth="1"/>
    <col min="6918" max="6918" width="7.42578125" style="113" customWidth="1"/>
    <col min="6919" max="6919" width="9" style="113" customWidth="1"/>
    <col min="6920" max="6920" width="7.7109375" style="113" customWidth="1"/>
    <col min="6921" max="6921" width="7.42578125" style="113" customWidth="1"/>
    <col min="6922" max="6922" width="9" style="113" customWidth="1"/>
    <col min="6923" max="7165" width="10" style="113"/>
    <col min="7166" max="7166" width="6.140625" style="113" customWidth="1"/>
    <col min="7167" max="7167" width="4.42578125" style="113" customWidth="1"/>
    <col min="7168" max="7168" width="9.28515625" style="113" customWidth="1"/>
    <col min="7169" max="7169" width="6.85546875" style="113" customWidth="1"/>
    <col min="7170" max="7170" width="7.7109375" style="113" customWidth="1"/>
    <col min="7171" max="7171" width="7.42578125" style="113" customWidth="1"/>
    <col min="7172" max="7172" width="9" style="113" customWidth="1"/>
    <col min="7173" max="7173" width="7.7109375" style="113" customWidth="1"/>
    <col min="7174" max="7174" width="7.42578125" style="113" customWidth="1"/>
    <col min="7175" max="7175" width="9" style="113" customWidth="1"/>
    <col min="7176" max="7176" width="7.7109375" style="113" customWidth="1"/>
    <col min="7177" max="7177" width="7.42578125" style="113" customWidth="1"/>
    <col min="7178" max="7178" width="9" style="113" customWidth="1"/>
    <col min="7179" max="7421" width="10" style="113"/>
    <col min="7422" max="7422" width="6.140625" style="113" customWidth="1"/>
    <col min="7423" max="7423" width="4.42578125" style="113" customWidth="1"/>
    <col min="7424" max="7424" width="9.28515625" style="113" customWidth="1"/>
    <col min="7425" max="7425" width="6.85546875" style="113" customWidth="1"/>
    <col min="7426" max="7426" width="7.7109375" style="113" customWidth="1"/>
    <col min="7427" max="7427" width="7.42578125" style="113" customWidth="1"/>
    <col min="7428" max="7428" width="9" style="113" customWidth="1"/>
    <col min="7429" max="7429" width="7.7109375" style="113" customWidth="1"/>
    <col min="7430" max="7430" width="7.42578125" style="113" customWidth="1"/>
    <col min="7431" max="7431" width="9" style="113" customWidth="1"/>
    <col min="7432" max="7432" width="7.7109375" style="113" customWidth="1"/>
    <col min="7433" max="7433" width="7.42578125" style="113" customWidth="1"/>
    <col min="7434" max="7434" width="9" style="113" customWidth="1"/>
    <col min="7435" max="7677" width="10" style="113"/>
    <col min="7678" max="7678" width="6.140625" style="113" customWidth="1"/>
    <col min="7679" max="7679" width="4.42578125" style="113" customWidth="1"/>
    <col min="7680" max="7680" width="9.28515625" style="113" customWidth="1"/>
    <col min="7681" max="7681" width="6.85546875" style="113" customWidth="1"/>
    <col min="7682" max="7682" width="7.7109375" style="113" customWidth="1"/>
    <col min="7683" max="7683" width="7.42578125" style="113" customWidth="1"/>
    <col min="7684" max="7684" width="9" style="113" customWidth="1"/>
    <col min="7685" max="7685" width="7.7109375" style="113" customWidth="1"/>
    <col min="7686" max="7686" width="7.42578125" style="113" customWidth="1"/>
    <col min="7687" max="7687" width="9" style="113" customWidth="1"/>
    <col min="7688" max="7688" width="7.7109375" style="113" customWidth="1"/>
    <col min="7689" max="7689" width="7.42578125" style="113" customWidth="1"/>
    <col min="7690" max="7690" width="9" style="113" customWidth="1"/>
    <col min="7691" max="7933" width="10" style="113"/>
    <col min="7934" max="7934" width="6.140625" style="113" customWidth="1"/>
    <col min="7935" max="7935" width="4.42578125" style="113" customWidth="1"/>
    <col min="7936" max="7936" width="9.28515625" style="113" customWidth="1"/>
    <col min="7937" max="7937" width="6.85546875" style="113" customWidth="1"/>
    <col min="7938" max="7938" width="7.7109375" style="113" customWidth="1"/>
    <col min="7939" max="7939" width="7.42578125" style="113" customWidth="1"/>
    <col min="7940" max="7940" width="9" style="113" customWidth="1"/>
    <col min="7941" max="7941" width="7.7109375" style="113" customWidth="1"/>
    <col min="7942" max="7942" width="7.42578125" style="113" customWidth="1"/>
    <col min="7943" max="7943" width="9" style="113" customWidth="1"/>
    <col min="7944" max="7944" width="7.7109375" style="113" customWidth="1"/>
    <col min="7945" max="7945" width="7.42578125" style="113" customWidth="1"/>
    <col min="7946" max="7946" width="9" style="113" customWidth="1"/>
    <col min="7947" max="8189" width="10" style="113"/>
    <col min="8190" max="8190" width="6.140625" style="113" customWidth="1"/>
    <col min="8191" max="8191" width="4.42578125" style="113" customWidth="1"/>
    <col min="8192" max="8192" width="9.28515625" style="113" customWidth="1"/>
    <col min="8193" max="8193" width="6.85546875" style="113" customWidth="1"/>
    <col min="8194" max="8194" width="7.7109375" style="113" customWidth="1"/>
    <col min="8195" max="8195" width="7.42578125" style="113" customWidth="1"/>
    <col min="8196" max="8196" width="9" style="113" customWidth="1"/>
    <col min="8197" max="8197" width="7.7109375" style="113" customWidth="1"/>
    <col min="8198" max="8198" width="7.42578125" style="113" customWidth="1"/>
    <col min="8199" max="8199" width="9" style="113" customWidth="1"/>
    <col min="8200" max="8200" width="7.7109375" style="113" customWidth="1"/>
    <col min="8201" max="8201" width="7.42578125" style="113" customWidth="1"/>
    <col min="8202" max="8202" width="9" style="113" customWidth="1"/>
    <col min="8203" max="8445" width="10" style="113"/>
    <col min="8446" max="8446" width="6.140625" style="113" customWidth="1"/>
    <col min="8447" max="8447" width="4.42578125" style="113" customWidth="1"/>
    <col min="8448" max="8448" width="9.28515625" style="113" customWidth="1"/>
    <col min="8449" max="8449" width="6.85546875" style="113" customWidth="1"/>
    <col min="8450" max="8450" width="7.7109375" style="113" customWidth="1"/>
    <col min="8451" max="8451" width="7.42578125" style="113" customWidth="1"/>
    <col min="8452" max="8452" width="9" style="113" customWidth="1"/>
    <col min="8453" max="8453" width="7.7109375" style="113" customWidth="1"/>
    <col min="8454" max="8454" width="7.42578125" style="113" customWidth="1"/>
    <col min="8455" max="8455" width="9" style="113" customWidth="1"/>
    <col min="8456" max="8456" width="7.7109375" style="113" customWidth="1"/>
    <col min="8457" max="8457" width="7.42578125" style="113" customWidth="1"/>
    <col min="8458" max="8458" width="9" style="113" customWidth="1"/>
    <col min="8459" max="8701" width="10" style="113"/>
    <col min="8702" max="8702" width="6.140625" style="113" customWidth="1"/>
    <col min="8703" max="8703" width="4.42578125" style="113" customWidth="1"/>
    <col min="8704" max="8704" width="9.28515625" style="113" customWidth="1"/>
    <col min="8705" max="8705" width="6.85546875" style="113" customWidth="1"/>
    <col min="8706" max="8706" width="7.7109375" style="113" customWidth="1"/>
    <col min="8707" max="8707" width="7.42578125" style="113" customWidth="1"/>
    <col min="8708" max="8708" width="9" style="113" customWidth="1"/>
    <col min="8709" max="8709" width="7.7109375" style="113" customWidth="1"/>
    <col min="8710" max="8710" width="7.42578125" style="113" customWidth="1"/>
    <col min="8711" max="8711" width="9" style="113" customWidth="1"/>
    <col min="8712" max="8712" width="7.7109375" style="113" customWidth="1"/>
    <col min="8713" max="8713" width="7.42578125" style="113" customWidth="1"/>
    <col min="8714" max="8714" width="9" style="113" customWidth="1"/>
    <col min="8715" max="8957" width="10" style="113"/>
    <col min="8958" max="8958" width="6.140625" style="113" customWidth="1"/>
    <col min="8959" max="8959" width="4.42578125" style="113" customWidth="1"/>
    <col min="8960" max="8960" width="9.28515625" style="113" customWidth="1"/>
    <col min="8961" max="8961" width="6.85546875" style="113" customWidth="1"/>
    <col min="8962" max="8962" width="7.7109375" style="113" customWidth="1"/>
    <col min="8963" max="8963" width="7.42578125" style="113" customWidth="1"/>
    <col min="8964" max="8964" width="9" style="113" customWidth="1"/>
    <col min="8965" max="8965" width="7.7109375" style="113" customWidth="1"/>
    <col min="8966" max="8966" width="7.42578125" style="113" customWidth="1"/>
    <col min="8967" max="8967" width="9" style="113" customWidth="1"/>
    <col min="8968" max="8968" width="7.7109375" style="113" customWidth="1"/>
    <col min="8969" max="8969" width="7.42578125" style="113" customWidth="1"/>
    <col min="8970" max="8970" width="9" style="113" customWidth="1"/>
    <col min="8971" max="9213" width="10" style="113"/>
    <col min="9214" max="9214" width="6.140625" style="113" customWidth="1"/>
    <col min="9215" max="9215" width="4.42578125" style="113" customWidth="1"/>
    <col min="9216" max="9216" width="9.28515625" style="113" customWidth="1"/>
    <col min="9217" max="9217" width="6.85546875" style="113" customWidth="1"/>
    <col min="9218" max="9218" width="7.7109375" style="113" customWidth="1"/>
    <col min="9219" max="9219" width="7.42578125" style="113" customWidth="1"/>
    <col min="9220" max="9220" width="9" style="113" customWidth="1"/>
    <col min="9221" max="9221" width="7.7109375" style="113" customWidth="1"/>
    <col min="9222" max="9222" width="7.42578125" style="113" customWidth="1"/>
    <col min="9223" max="9223" width="9" style="113" customWidth="1"/>
    <col min="9224" max="9224" width="7.7109375" style="113" customWidth="1"/>
    <col min="9225" max="9225" width="7.42578125" style="113" customWidth="1"/>
    <col min="9226" max="9226" width="9" style="113" customWidth="1"/>
    <col min="9227" max="9469" width="10" style="113"/>
    <col min="9470" max="9470" width="6.140625" style="113" customWidth="1"/>
    <col min="9471" max="9471" width="4.42578125" style="113" customWidth="1"/>
    <col min="9472" max="9472" width="9.28515625" style="113" customWidth="1"/>
    <col min="9473" max="9473" width="6.85546875" style="113" customWidth="1"/>
    <col min="9474" max="9474" width="7.7109375" style="113" customWidth="1"/>
    <col min="9475" max="9475" width="7.42578125" style="113" customWidth="1"/>
    <col min="9476" max="9476" width="9" style="113" customWidth="1"/>
    <col min="9477" max="9477" width="7.7109375" style="113" customWidth="1"/>
    <col min="9478" max="9478" width="7.42578125" style="113" customWidth="1"/>
    <col min="9479" max="9479" width="9" style="113" customWidth="1"/>
    <col min="9480" max="9480" width="7.7109375" style="113" customWidth="1"/>
    <col min="9481" max="9481" width="7.42578125" style="113" customWidth="1"/>
    <col min="9482" max="9482" width="9" style="113" customWidth="1"/>
    <col min="9483" max="9725" width="10" style="113"/>
    <col min="9726" max="9726" width="6.140625" style="113" customWidth="1"/>
    <col min="9727" max="9727" width="4.42578125" style="113" customWidth="1"/>
    <col min="9728" max="9728" width="9.28515625" style="113" customWidth="1"/>
    <col min="9729" max="9729" width="6.85546875" style="113" customWidth="1"/>
    <col min="9730" max="9730" width="7.7109375" style="113" customWidth="1"/>
    <col min="9731" max="9731" width="7.42578125" style="113" customWidth="1"/>
    <col min="9732" max="9732" width="9" style="113" customWidth="1"/>
    <col min="9733" max="9733" width="7.7109375" style="113" customWidth="1"/>
    <col min="9734" max="9734" width="7.42578125" style="113" customWidth="1"/>
    <col min="9735" max="9735" width="9" style="113" customWidth="1"/>
    <col min="9736" max="9736" width="7.7109375" style="113" customWidth="1"/>
    <col min="9737" max="9737" width="7.42578125" style="113" customWidth="1"/>
    <col min="9738" max="9738" width="9" style="113" customWidth="1"/>
    <col min="9739" max="9981" width="10" style="113"/>
    <col min="9982" max="9982" width="6.140625" style="113" customWidth="1"/>
    <col min="9983" max="9983" width="4.42578125" style="113" customWidth="1"/>
    <col min="9984" max="9984" width="9.28515625" style="113" customWidth="1"/>
    <col min="9985" max="9985" width="6.85546875" style="113" customWidth="1"/>
    <col min="9986" max="9986" width="7.7109375" style="113" customWidth="1"/>
    <col min="9987" max="9987" width="7.42578125" style="113" customWidth="1"/>
    <col min="9988" max="9988" width="9" style="113" customWidth="1"/>
    <col min="9989" max="9989" width="7.7109375" style="113" customWidth="1"/>
    <col min="9990" max="9990" width="7.42578125" style="113" customWidth="1"/>
    <col min="9991" max="9991" width="9" style="113" customWidth="1"/>
    <col min="9992" max="9992" width="7.7109375" style="113" customWidth="1"/>
    <col min="9993" max="9993" width="7.42578125" style="113" customWidth="1"/>
    <col min="9994" max="9994" width="9" style="113" customWidth="1"/>
    <col min="9995" max="10237" width="10" style="113"/>
    <col min="10238" max="10238" width="6.140625" style="113" customWidth="1"/>
    <col min="10239" max="10239" width="4.42578125" style="113" customWidth="1"/>
    <col min="10240" max="10240" width="9.28515625" style="113" customWidth="1"/>
    <col min="10241" max="10241" width="6.85546875" style="113" customWidth="1"/>
    <col min="10242" max="10242" width="7.7109375" style="113" customWidth="1"/>
    <col min="10243" max="10243" width="7.42578125" style="113" customWidth="1"/>
    <col min="10244" max="10244" width="9" style="113" customWidth="1"/>
    <col min="10245" max="10245" width="7.7109375" style="113" customWidth="1"/>
    <col min="10246" max="10246" width="7.42578125" style="113" customWidth="1"/>
    <col min="10247" max="10247" width="9" style="113" customWidth="1"/>
    <col min="10248" max="10248" width="7.7109375" style="113" customWidth="1"/>
    <col min="10249" max="10249" width="7.42578125" style="113" customWidth="1"/>
    <col min="10250" max="10250" width="9" style="113" customWidth="1"/>
    <col min="10251" max="10493" width="10" style="113"/>
    <col min="10494" max="10494" width="6.140625" style="113" customWidth="1"/>
    <col min="10495" max="10495" width="4.42578125" style="113" customWidth="1"/>
    <col min="10496" max="10496" width="9.28515625" style="113" customWidth="1"/>
    <col min="10497" max="10497" width="6.85546875" style="113" customWidth="1"/>
    <col min="10498" max="10498" width="7.7109375" style="113" customWidth="1"/>
    <col min="10499" max="10499" width="7.42578125" style="113" customWidth="1"/>
    <col min="10500" max="10500" width="9" style="113" customWidth="1"/>
    <col min="10501" max="10501" width="7.7109375" style="113" customWidth="1"/>
    <col min="10502" max="10502" width="7.42578125" style="113" customWidth="1"/>
    <col min="10503" max="10503" width="9" style="113" customWidth="1"/>
    <col min="10504" max="10504" width="7.7109375" style="113" customWidth="1"/>
    <col min="10505" max="10505" width="7.42578125" style="113" customWidth="1"/>
    <col min="10506" max="10506" width="9" style="113" customWidth="1"/>
    <col min="10507" max="10749" width="10" style="113"/>
    <col min="10750" max="10750" width="6.140625" style="113" customWidth="1"/>
    <col min="10751" max="10751" width="4.42578125" style="113" customWidth="1"/>
    <col min="10752" max="10752" width="9.28515625" style="113" customWidth="1"/>
    <col min="10753" max="10753" width="6.85546875" style="113" customWidth="1"/>
    <col min="10754" max="10754" width="7.7109375" style="113" customWidth="1"/>
    <col min="10755" max="10755" width="7.42578125" style="113" customWidth="1"/>
    <col min="10756" max="10756" width="9" style="113" customWidth="1"/>
    <col min="10757" max="10757" width="7.7109375" style="113" customWidth="1"/>
    <col min="10758" max="10758" width="7.42578125" style="113" customWidth="1"/>
    <col min="10759" max="10759" width="9" style="113" customWidth="1"/>
    <col min="10760" max="10760" width="7.7109375" style="113" customWidth="1"/>
    <col min="10761" max="10761" width="7.42578125" style="113" customWidth="1"/>
    <col min="10762" max="10762" width="9" style="113" customWidth="1"/>
    <col min="10763" max="11005" width="10" style="113"/>
    <col min="11006" max="11006" width="6.140625" style="113" customWidth="1"/>
    <col min="11007" max="11007" width="4.42578125" style="113" customWidth="1"/>
    <col min="11008" max="11008" width="9.28515625" style="113" customWidth="1"/>
    <col min="11009" max="11009" width="6.85546875" style="113" customWidth="1"/>
    <col min="11010" max="11010" width="7.7109375" style="113" customWidth="1"/>
    <col min="11011" max="11011" width="7.42578125" style="113" customWidth="1"/>
    <col min="11012" max="11012" width="9" style="113" customWidth="1"/>
    <col min="11013" max="11013" width="7.7109375" style="113" customWidth="1"/>
    <col min="11014" max="11014" width="7.42578125" style="113" customWidth="1"/>
    <col min="11015" max="11015" width="9" style="113" customWidth="1"/>
    <col min="11016" max="11016" width="7.7109375" style="113" customWidth="1"/>
    <col min="11017" max="11017" width="7.42578125" style="113" customWidth="1"/>
    <col min="11018" max="11018" width="9" style="113" customWidth="1"/>
    <col min="11019" max="11261" width="10" style="113"/>
    <col min="11262" max="11262" width="6.140625" style="113" customWidth="1"/>
    <col min="11263" max="11263" width="4.42578125" style="113" customWidth="1"/>
    <col min="11264" max="11264" width="9.28515625" style="113" customWidth="1"/>
    <col min="11265" max="11265" width="6.85546875" style="113" customWidth="1"/>
    <col min="11266" max="11266" width="7.7109375" style="113" customWidth="1"/>
    <col min="11267" max="11267" width="7.42578125" style="113" customWidth="1"/>
    <col min="11268" max="11268" width="9" style="113" customWidth="1"/>
    <col min="11269" max="11269" width="7.7109375" style="113" customWidth="1"/>
    <col min="11270" max="11270" width="7.42578125" style="113" customWidth="1"/>
    <col min="11271" max="11271" width="9" style="113" customWidth="1"/>
    <col min="11272" max="11272" width="7.7109375" style="113" customWidth="1"/>
    <col min="11273" max="11273" width="7.42578125" style="113" customWidth="1"/>
    <col min="11274" max="11274" width="9" style="113" customWidth="1"/>
    <col min="11275" max="11517" width="10" style="113"/>
    <col min="11518" max="11518" width="6.140625" style="113" customWidth="1"/>
    <col min="11519" max="11519" width="4.42578125" style="113" customWidth="1"/>
    <col min="11520" max="11520" width="9.28515625" style="113" customWidth="1"/>
    <col min="11521" max="11521" width="6.85546875" style="113" customWidth="1"/>
    <col min="11522" max="11522" width="7.7109375" style="113" customWidth="1"/>
    <col min="11523" max="11523" width="7.42578125" style="113" customWidth="1"/>
    <col min="11524" max="11524" width="9" style="113" customWidth="1"/>
    <col min="11525" max="11525" width="7.7109375" style="113" customWidth="1"/>
    <col min="11526" max="11526" width="7.42578125" style="113" customWidth="1"/>
    <col min="11527" max="11527" width="9" style="113" customWidth="1"/>
    <col min="11528" max="11528" width="7.7109375" style="113" customWidth="1"/>
    <col min="11529" max="11529" width="7.42578125" style="113" customWidth="1"/>
    <col min="11530" max="11530" width="9" style="113" customWidth="1"/>
    <col min="11531" max="11773" width="10" style="113"/>
    <col min="11774" max="11774" width="6.140625" style="113" customWidth="1"/>
    <col min="11775" max="11775" width="4.42578125" style="113" customWidth="1"/>
    <col min="11776" max="11776" width="9.28515625" style="113" customWidth="1"/>
    <col min="11777" max="11777" width="6.85546875" style="113" customWidth="1"/>
    <col min="11778" max="11778" width="7.7109375" style="113" customWidth="1"/>
    <col min="11779" max="11779" width="7.42578125" style="113" customWidth="1"/>
    <col min="11780" max="11780" width="9" style="113" customWidth="1"/>
    <col min="11781" max="11781" width="7.7109375" style="113" customWidth="1"/>
    <col min="11782" max="11782" width="7.42578125" style="113" customWidth="1"/>
    <col min="11783" max="11783" width="9" style="113" customWidth="1"/>
    <col min="11784" max="11784" width="7.7109375" style="113" customWidth="1"/>
    <col min="11785" max="11785" width="7.42578125" style="113" customWidth="1"/>
    <col min="11786" max="11786" width="9" style="113" customWidth="1"/>
    <col min="11787" max="12029" width="10" style="113"/>
    <col min="12030" max="12030" width="6.140625" style="113" customWidth="1"/>
    <col min="12031" max="12031" width="4.42578125" style="113" customWidth="1"/>
    <col min="12032" max="12032" width="9.28515625" style="113" customWidth="1"/>
    <col min="12033" max="12033" width="6.85546875" style="113" customWidth="1"/>
    <col min="12034" max="12034" width="7.7109375" style="113" customWidth="1"/>
    <col min="12035" max="12035" width="7.42578125" style="113" customWidth="1"/>
    <col min="12036" max="12036" width="9" style="113" customWidth="1"/>
    <col min="12037" max="12037" width="7.7109375" style="113" customWidth="1"/>
    <col min="12038" max="12038" width="7.42578125" style="113" customWidth="1"/>
    <col min="12039" max="12039" width="9" style="113" customWidth="1"/>
    <col min="12040" max="12040" width="7.7109375" style="113" customWidth="1"/>
    <col min="12041" max="12041" width="7.42578125" style="113" customWidth="1"/>
    <col min="12042" max="12042" width="9" style="113" customWidth="1"/>
    <col min="12043" max="12285" width="10" style="113"/>
    <col min="12286" max="12286" width="6.140625" style="113" customWidth="1"/>
    <col min="12287" max="12287" width="4.42578125" style="113" customWidth="1"/>
    <col min="12288" max="12288" width="9.28515625" style="113" customWidth="1"/>
    <col min="12289" max="12289" width="6.85546875" style="113" customWidth="1"/>
    <col min="12290" max="12290" width="7.7109375" style="113" customWidth="1"/>
    <col min="12291" max="12291" width="7.42578125" style="113" customWidth="1"/>
    <col min="12292" max="12292" width="9" style="113" customWidth="1"/>
    <col min="12293" max="12293" width="7.7109375" style="113" customWidth="1"/>
    <col min="12294" max="12294" width="7.42578125" style="113" customWidth="1"/>
    <col min="12295" max="12295" width="9" style="113" customWidth="1"/>
    <col min="12296" max="12296" width="7.7109375" style="113" customWidth="1"/>
    <col min="12297" max="12297" width="7.42578125" style="113" customWidth="1"/>
    <col min="12298" max="12298" width="9" style="113" customWidth="1"/>
    <col min="12299" max="12541" width="10" style="113"/>
    <col min="12542" max="12542" width="6.140625" style="113" customWidth="1"/>
    <col min="12543" max="12543" width="4.42578125" style="113" customWidth="1"/>
    <col min="12544" max="12544" width="9.28515625" style="113" customWidth="1"/>
    <col min="12545" max="12545" width="6.85546875" style="113" customWidth="1"/>
    <col min="12546" max="12546" width="7.7109375" style="113" customWidth="1"/>
    <col min="12547" max="12547" width="7.42578125" style="113" customWidth="1"/>
    <col min="12548" max="12548" width="9" style="113" customWidth="1"/>
    <col min="12549" max="12549" width="7.7109375" style="113" customWidth="1"/>
    <col min="12550" max="12550" width="7.42578125" style="113" customWidth="1"/>
    <col min="12551" max="12551" width="9" style="113" customWidth="1"/>
    <col min="12552" max="12552" width="7.7109375" style="113" customWidth="1"/>
    <col min="12553" max="12553" width="7.42578125" style="113" customWidth="1"/>
    <col min="12554" max="12554" width="9" style="113" customWidth="1"/>
    <col min="12555" max="12797" width="10" style="113"/>
    <col min="12798" max="12798" width="6.140625" style="113" customWidth="1"/>
    <col min="12799" max="12799" width="4.42578125" style="113" customWidth="1"/>
    <col min="12800" max="12800" width="9.28515625" style="113" customWidth="1"/>
    <col min="12801" max="12801" width="6.85546875" style="113" customWidth="1"/>
    <col min="12802" max="12802" width="7.7109375" style="113" customWidth="1"/>
    <col min="12803" max="12803" width="7.42578125" style="113" customWidth="1"/>
    <col min="12804" max="12804" width="9" style="113" customWidth="1"/>
    <col min="12805" max="12805" width="7.7109375" style="113" customWidth="1"/>
    <col min="12806" max="12806" width="7.42578125" style="113" customWidth="1"/>
    <col min="12807" max="12807" width="9" style="113" customWidth="1"/>
    <col min="12808" max="12808" width="7.7109375" style="113" customWidth="1"/>
    <col min="12809" max="12809" width="7.42578125" style="113" customWidth="1"/>
    <col min="12810" max="12810" width="9" style="113" customWidth="1"/>
    <col min="12811" max="13053" width="10" style="113"/>
    <col min="13054" max="13054" width="6.140625" style="113" customWidth="1"/>
    <col min="13055" max="13055" width="4.42578125" style="113" customWidth="1"/>
    <col min="13056" max="13056" width="9.28515625" style="113" customWidth="1"/>
    <col min="13057" max="13057" width="6.85546875" style="113" customWidth="1"/>
    <col min="13058" max="13058" width="7.7109375" style="113" customWidth="1"/>
    <col min="13059" max="13059" width="7.42578125" style="113" customWidth="1"/>
    <col min="13060" max="13060" width="9" style="113" customWidth="1"/>
    <col min="13061" max="13061" width="7.7109375" style="113" customWidth="1"/>
    <col min="13062" max="13062" width="7.42578125" style="113" customWidth="1"/>
    <col min="13063" max="13063" width="9" style="113" customWidth="1"/>
    <col min="13064" max="13064" width="7.7109375" style="113" customWidth="1"/>
    <col min="13065" max="13065" width="7.42578125" style="113" customWidth="1"/>
    <col min="13066" max="13066" width="9" style="113" customWidth="1"/>
    <col min="13067" max="13309" width="10" style="113"/>
    <col min="13310" max="13310" width="6.140625" style="113" customWidth="1"/>
    <col min="13311" max="13311" width="4.42578125" style="113" customWidth="1"/>
    <col min="13312" max="13312" width="9.28515625" style="113" customWidth="1"/>
    <col min="13313" max="13313" width="6.85546875" style="113" customWidth="1"/>
    <col min="13314" max="13314" width="7.7109375" style="113" customWidth="1"/>
    <col min="13315" max="13315" width="7.42578125" style="113" customWidth="1"/>
    <col min="13316" max="13316" width="9" style="113" customWidth="1"/>
    <col min="13317" max="13317" width="7.7109375" style="113" customWidth="1"/>
    <col min="13318" max="13318" width="7.42578125" style="113" customWidth="1"/>
    <col min="13319" max="13319" width="9" style="113" customWidth="1"/>
    <col min="13320" max="13320" width="7.7109375" style="113" customWidth="1"/>
    <col min="13321" max="13321" width="7.42578125" style="113" customWidth="1"/>
    <col min="13322" max="13322" width="9" style="113" customWidth="1"/>
    <col min="13323" max="13565" width="10" style="113"/>
    <col min="13566" max="13566" width="6.140625" style="113" customWidth="1"/>
    <col min="13567" max="13567" width="4.42578125" style="113" customWidth="1"/>
    <col min="13568" max="13568" width="9.28515625" style="113" customWidth="1"/>
    <col min="13569" max="13569" width="6.85546875" style="113" customWidth="1"/>
    <col min="13570" max="13570" width="7.7109375" style="113" customWidth="1"/>
    <col min="13571" max="13571" width="7.42578125" style="113" customWidth="1"/>
    <col min="13572" max="13572" width="9" style="113" customWidth="1"/>
    <col min="13573" max="13573" width="7.7109375" style="113" customWidth="1"/>
    <col min="13574" max="13574" width="7.42578125" style="113" customWidth="1"/>
    <col min="13575" max="13575" width="9" style="113" customWidth="1"/>
    <col min="13576" max="13576" width="7.7109375" style="113" customWidth="1"/>
    <col min="13577" max="13577" width="7.42578125" style="113" customWidth="1"/>
    <col min="13578" max="13578" width="9" style="113" customWidth="1"/>
    <col min="13579" max="13821" width="10" style="113"/>
    <col min="13822" max="13822" width="6.140625" style="113" customWidth="1"/>
    <col min="13823" max="13823" width="4.42578125" style="113" customWidth="1"/>
    <col min="13824" max="13824" width="9.28515625" style="113" customWidth="1"/>
    <col min="13825" max="13825" width="6.85546875" style="113" customWidth="1"/>
    <col min="13826" max="13826" width="7.7109375" style="113" customWidth="1"/>
    <col min="13827" max="13827" width="7.42578125" style="113" customWidth="1"/>
    <col min="13828" max="13828" width="9" style="113" customWidth="1"/>
    <col min="13829" max="13829" width="7.7109375" style="113" customWidth="1"/>
    <col min="13830" max="13830" width="7.42578125" style="113" customWidth="1"/>
    <col min="13831" max="13831" width="9" style="113" customWidth="1"/>
    <col min="13832" max="13832" width="7.7109375" style="113" customWidth="1"/>
    <col min="13833" max="13833" width="7.42578125" style="113" customWidth="1"/>
    <col min="13834" max="13834" width="9" style="113" customWidth="1"/>
    <col min="13835" max="14077" width="10" style="113"/>
    <col min="14078" max="14078" width="6.140625" style="113" customWidth="1"/>
    <col min="14079" max="14079" width="4.42578125" style="113" customWidth="1"/>
    <col min="14080" max="14080" width="9.28515625" style="113" customWidth="1"/>
    <col min="14081" max="14081" width="6.85546875" style="113" customWidth="1"/>
    <col min="14082" max="14082" width="7.7109375" style="113" customWidth="1"/>
    <col min="14083" max="14083" width="7.42578125" style="113" customWidth="1"/>
    <col min="14084" max="14084" width="9" style="113" customWidth="1"/>
    <col min="14085" max="14085" width="7.7109375" style="113" customWidth="1"/>
    <col min="14086" max="14086" width="7.42578125" style="113" customWidth="1"/>
    <col min="14087" max="14087" width="9" style="113" customWidth="1"/>
    <col min="14088" max="14088" width="7.7109375" style="113" customWidth="1"/>
    <col min="14089" max="14089" width="7.42578125" style="113" customWidth="1"/>
    <col min="14090" max="14090" width="9" style="113" customWidth="1"/>
    <col min="14091" max="14333" width="10" style="113"/>
    <col min="14334" max="14334" width="6.140625" style="113" customWidth="1"/>
    <col min="14335" max="14335" width="4.42578125" style="113" customWidth="1"/>
    <col min="14336" max="14336" width="9.28515625" style="113" customWidth="1"/>
    <col min="14337" max="14337" width="6.85546875" style="113" customWidth="1"/>
    <col min="14338" max="14338" width="7.7109375" style="113" customWidth="1"/>
    <col min="14339" max="14339" width="7.42578125" style="113" customWidth="1"/>
    <col min="14340" max="14340" width="9" style="113" customWidth="1"/>
    <col min="14341" max="14341" width="7.7109375" style="113" customWidth="1"/>
    <col min="14342" max="14342" width="7.42578125" style="113" customWidth="1"/>
    <col min="14343" max="14343" width="9" style="113" customWidth="1"/>
    <col min="14344" max="14344" width="7.7109375" style="113" customWidth="1"/>
    <col min="14345" max="14345" width="7.42578125" style="113" customWidth="1"/>
    <col min="14346" max="14346" width="9" style="113" customWidth="1"/>
    <col min="14347" max="14589" width="10" style="113"/>
    <col min="14590" max="14590" width="6.140625" style="113" customWidth="1"/>
    <col min="14591" max="14591" width="4.42578125" style="113" customWidth="1"/>
    <col min="14592" max="14592" width="9.28515625" style="113" customWidth="1"/>
    <col min="14593" max="14593" width="6.85546875" style="113" customWidth="1"/>
    <col min="14594" max="14594" width="7.7109375" style="113" customWidth="1"/>
    <col min="14595" max="14595" width="7.42578125" style="113" customWidth="1"/>
    <col min="14596" max="14596" width="9" style="113" customWidth="1"/>
    <col min="14597" max="14597" width="7.7109375" style="113" customWidth="1"/>
    <col min="14598" max="14598" width="7.42578125" style="113" customWidth="1"/>
    <col min="14599" max="14599" width="9" style="113" customWidth="1"/>
    <col min="14600" max="14600" width="7.7109375" style="113" customWidth="1"/>
    <col min="14601" max="14601" width="7.42578125" style="113" customWidth="1"/>
    <col min="14602" max="14602" width="9" style="113" customWidth="1"/>
    <col min="14603" max="14845" width="10" style="113"/>
    <col min="14846" max="14846" width="6.140625" style="113" customWidth="1"/>
    <col min="14847" max="14847" width="4.42578125" style="113" customWidth="1"/>
    <col min="14848" max="14848" width="9.28515625" style="113" customWidth="1"/>
    <col min="14849" max="14849" width="6.85546875" style="113" customWidth="1"/>
    <col min="14850" max="14850" width="7.7109375" style="113" customWidth="1"/>
    <col min="14851" max="14851" width="7.42578125" style="113" customWidth="1"/>
    <col min="14852" max="14852" width="9" style="113" customWidth="1"/>
    <col min="14853" max="14853" width="7.7109375" style="113" customWidth="1"/>
    <col min="14854" max="14854" width="7.42578125" style="113" customWidth="1"/>
    <col min="14855" max="14855" width="9" style="113" customWidth="1"/>
    <col min="14856" max="14856" width="7.7109375" style="113" customWidth="1"/>
    <col min="14857" max="14857" width="7.42578125" style="113" customWidth="1"/>
    <col min="14858" max="14858" width="9" style="113" customWidth="1"/>
    <col min="14859" max="15101" width="10" style="113"/>
    <col min="15102" max="15102" width="6.140625" style="113" customWidth="1"/>
    <col min="15103" max="15103" width="4.42578125" style="113" customWidth="1"/>
    <col min="15104" max="15104" width="9.28515625" style="113" customWidth="1"/>
    <col min="15105" max="15105" width="6.85546875" style="113" customWidth="1"/>
    <col min="15106" max="15106" width="7.7109375" style="113" customWidth="1"/>
    <col min="15107" max="15107" width="7.42578125" style="113" customWidth="1"/>
    <col min="15108" max="15108" width="9" style="113" customWidth="1"/>
    <col min="15109" max="15109" width="7.7109375" style="113" customWidth="1"/>
    <col min="15110" max="15110" width="7.42578125" style="113" customWidth="1"/>
    <col min="15111" max="15111" width="9" style="113" customWidth="1"/>
    <col min="15112" max="15112" width="7.7109375" style="113" customWidth="1"/>
    <col min="15113" max="15113" width="7.42578125" style="113" customWidth="1"/>
    <col min="15114" max="15114" width="9" style="113" customWidth="1"/>
    <col min="15115" max="15357" width="10" style="113"/>
    <col min="15358" max="15358" width="6.140625" style="113" customWidth="1"/>
    <col min="15359" max="15359" width="4.42578125" style="113" customWidth="1"/>
    <col min="15360" max="15360" width="9.28515625" style="113" customWidth="1"/>
    <col min="15361" max="15361" width="6.85546875" style="113" customWidth="1"/>
    <col min="15362" max="15362" width="7.7109375" style="113" customWidth="1"/>
    <col min="15363" max="15363" width="7.42578125" style="113" customWidth="1"/>
    <col min="15364" max="15364" width="9" style="113" customWidth="1"/>
    <col min="15365" max="15365" width="7.7109375" style="113" customWidth="1"/>
    <col min="15366" max="15366" width="7.42578125" style="113" customWidth="1"/>
    <col min="15367" max="15367" width="9" style="113" customWidth="1"/>
    <col min="15368" max="15368" width="7.7109375" style="113" customWidth="1"/>
    <col min="15369" max="15369" width="7.42578125" style="113" customWidth="1"/>
    <col min="15370" max="15370" width="9" style="113" customWidth="1"/>
    <col min="15371" max="15613" width="10" style="113"/>
    <col min="15614" max="15614" width="6.140625" style="113" customWidth="1"/>
    <col min="15615" max="15615" width="4.42578125" style="113" customWidth="1"/>
    <col min="15616" max="15616" width="9.28515625" style="113" customWidth="1"/>
    <col min="15617" max="15617" width="6.85546875" style="113" customWidth="1"/>
    <col min="15618" max="15618" width="7.7109375" style="113" customWidth="1"/>
    <col min="15619" max="15619" width="7.42578125" style="113" customWidth="1"/>
    <col min="15620" max="15620" width="9" style="113" customWidth="1"/>
    <col min="15621" max="15621" width="7.7109375" style="113" customWidth="1"/>
    <col min="15622" max="15622" width="7.42578125" style="113" customWidth="1"/>
    <col min="15623" max="15623" width="9" style="113" customWidth="1"/>
    <col min="15624" max="15624" width="7.7109375" style="113" customWidth="1"/>
    <col min="15625" max="15625" width="7.42578125" style="113" customWidth="1"/>
    <col min="15626" max="15626" width="9" style="113" customWidth="1"/>
    <col min="15627" max="15869" width="10" style="113"/>
    <col min="15870" max="15870" width="6.140625" style="113" customWidth="1"/>
    <col min="15871" max="15871" width="4.42578125" style="113" customWidth="1"/>
    <col min="15872" max="15872" width="9.28515625" style="113" customWidth="1"/>
    <col min="15873" max="15873" width="6.85546875" style="113" customWidth="1"/>
    <col min="15874" max="15874" width="7.7109375" style="113" customWidth="1"/>
    <col min="15875" max="15875" width="7.42578125" style="113" customWidth="1"/>
    <col min="15876" max="15876" width="9" style="113" customWidth="1"/>
    <col min="15877" max="15877" width="7.7109375" style="113" customWidth="1"/>
    <col min="15878" max="15878" width="7.42578125" style="113" customWidth="1"/>
    <col min="15879" max="15879" width="9" style="113" customWidth="1"/>
    <col min="15880" max="15880" width="7.7109375" style="113" customWidth="1"/>
    <col min="15881" max="15881" width="7.42578125" style="113" customWidth="1"/>
    <col min="15882" max="15882" width="9" style="113" customWidth="1"/>
    <col min="15883" max="16125" width="10" style="113"/>
    <col min="16126" max="16126" width="6.140625" style="113" customWidth="1"/>
    <col min="16127" max="16127" width="4.42578125" style="113" customWidth="1"/>
    <col min="16128" max="16128" width="9.28515625" style="113" customWidth="1"/>
    <col min="16129" max="16129" width="6.85546875" style="113" customWidth="1"/>
    <col min="16130" max="16130" width="7.7109375" style="113" customWidth="1"/>
    <col min="16131" max="16131" width="7.42578125" style="113" customWidth="1"/>
    <col min="16132" max="16132" width="9" style="113" customWidth="1"/>
    <col min="16133" max="16133" width="7.7109375" style="113" customWidth="1"/>
    <col min="16134" max="16134" width="7.42578125" style="113" customWidth="1"/>
    <col min="16135" max="16135" width="9" style="113" customWidth="1"/>
    <col min="16136" max="16136" width="7.7109375" style="113" customWidth="1"/>
    <col min="16137" max="16137" width="7.42578125" style="113" customWidth="1"/>
    <col min="16138" max="16138" width="9" style="113" customWidth="1"/>
    <col min="16139" max="16384" width="10" style="113"/>
  </cols>
  <sheetData>
    <row r="3" spans="2:10" s="107" customFormat="1" ht="21.95" customHeight="1" x14ac:dyDescent="0.25">
      <c r="B3" s="2" t="s">
        <v>40</v>
      </c>
      <c r="C3" s="106"/>
      <c r="D3" s="106"/>
      <c r="E3" s="106"/>
      <c r="F3" s="106"/>
      <c r="G3" s="106"/>
      <c r="H3" s="106"/>
      <c r="I3" s="106"/>
      <c r="J3" s="106"/>
    </row>
    <row r="4" spans="2:10" s="107" customFormat="1" ht="20.100000000000001" customHeight="1" x14ac:dyDescent="0.25">
      <c r="B4" s="2" t="s">
        <v>41</v>
      </c>
      <c r="C4" s="108"/>
      <c r="D4" s="108"/>
      <c r="E4" s="108"/>
      <c r="F4" s="108"/>
      <c r="G4" s="108"/>
      <c r="H4" s="108"/>
      <c r="I4" s="108"/>
      <c r="J4" s="108"/>
    </row>
    <row r="5" spans="2:10" s="107" customFormat="1" ht="20.100000000000001" customHeight="1" x14ac:dyDescent="0.25">
      <c r="B5" s="4" t="s">
        <v>39</v>
      </c>
      <c r="C5" s="109"/>
      <c r="D5" s="109"/>
      <c r="E5" s="109"/>
      <c r="F5" s="109"/>
      <c r="G5" s="109"/>
      <c r="H5" s="109"/>
      <c r="I5" s="109"/>
      <c r="J5" s="109"/>
    </row>
    <row r="6" spans="2:10" s="107" customFormat="1" ht="15" x14ac:dyDescent="0.25">
      <c r="B6" s="5" t="s">
        <v>80</v>
      </c>
      <c r="C6" s="109"/>
      <c r="D6" s="109"/>
      <c r="E6" s="109"/>
      <c r="F6" s="109"/>
      <c r="G6" s="109"/>
      <c r="H6" s="109"/>
      <c r="I6" s="109"/>
      <c r="J6" s="109"/>
    </row>
    <row r="7" spans="2:10" s="107" customFormat="1" ht="15" x14ac:dyDescent="0.25">
      <c r="B7" s="6" t="s">
        <v>1</v>
      </c>
      <c r="C7" s="110"/>
      <c r="D7" s="110"/>
      <c r="E7" s="110"/>
      <c r="F7" s="110"/>
      <c r="G7" s="110"/>
      <c r="H7" s="110"/>
      <c r="I7" s="110"/>
      <c r="J7" s="110"/>
    </row>
    <row r="8" spans="2:10" s="107" customFormat="1" ht="15" x14ac:dyDescent="0.25">
      <c r="B8" s="6" t="s">
        <v>2</v>
      </c>
      <c r="C8" s="110"/>
      <c r="D8" s="110"/>
      <c r="E8" s="110"/>
      <c r="F8" s="110"/>
      <c r="G8" s="110"/>
      <c r="H8" s="110"/>
      <c r="I8" s="110"/>
      <c r="J8" s="110"/>
    </row>
    <row r="9" spans="2:10" s="107" customFormat="1" ht="15" x14ac:dyDescent="0.25">
      <c r="B9" s="7" t="s">
        <v>252</v>
      </c>
      <c r="C9" s="110"/>
      <c r="D9" s="110"/>
      <c r="E9" s="110"/>
      <c r="F9" s="110"/>
      <c r="G9" s="110"/>
      <c r="H9" s="110"/>
      <c r="I9" s="110"/>
      <c r="J9" s="110"/>
    </row>
    <row r="10" spans="2:10" s="107" customFormat="1" ht="15" x14ac:dyDescent="0.25">
      <c r="B10" s="111"/>
      <c r="C10" s="110"/>
      <c r="D10" s="110"/>
      <c r="E10" s="110"/>
      <c r="F10" s="110"/>
      <c r="G10" s="110"/>
      <c r="H10" s="110"/>
      <c r="I10" s="110"/>
      <c r="J10" s="110"/>
    </row>
    <row r="11" spans="2:10" s="107" customFormat="1" ht="15" x14ac:dyDescent="0.25">
      <c r="B11" s="111"/>
      <c r="C11" s="110"/>
      <c r="D11" s="110"/>
      <c r="E11" s="110"/>
      <c r="F11" s="110"/>
      <c r="G11" s="110"/>
      <c r="H11" s="110"/>
      <c r="I11" s="110"/>
      <c r="J11" s="110"/>
    </row>
    <row r="12" spans="2:10" ht="15.75" thickBot="1" x14ac:dyDescent="0.3">
      <c r="B12" s="112"/>
      <c r="C12" s="112"/>
      <c r="D12" s="112"/>
      <c r="E12" s="112"/>
      <c r="F12" s="112"/>
      <c r="G12" s="112"/>
      <c r="H12" s="112"/>
      <c r="I12" s="112"/>
      <c r="J12" s="112"/>
    </row>
    <row r="13" spans="2:10" x14ac:dyDescent="0.2">
      <c r="B13" s="287" t="s">
        <v>31</v>
      </c>
      <c r="C13" s="288"/>
      <c r="D13" s="293" t="s">
        <v>29</v>
      </c>
      <c r="E13" s="295" t="s">
        <v>177</v>
      </c>
      <c r="F13" s="296"/>
      <c r="G13" s="297"/>
      <c r="H13" s="295" t="s">
        <v>178</v>
      </c>
      <c r="I13" s="296"/>
      <c r="J13" s="297"/>
    </row>
    <row r="14" spans="2:10" x14ac:dyDescent="0.2">
      <c r="B14" s="289"/>
      <c r="C14" s="290"/>
      <c r="D14" s="294"/>
      <c r="E14" s="298" t="s">
        <v>86</v>
      </c>
      <c r="F14" s="299"/>
      <c r="G14" s="300"/>
      <c r="H14" s="298" t="s">
        <v>88</v>
      </c>
      <c r="I14" s="299"/>
      <c r="J14" s="300"/>
    </row>
    <row r="15" spans="2:10" ht="13.5" thickBot="1" x14ac:dyDescent="0.25">
      <c r="B15" s="291"/>
      <c r="C15" s="292"/>
      <c r="D15" s="294"/>
      <c r="E15" s="301"/>
      <c r="F15" s="299"/>
      <c r="G15" s="300"/>
      <c r="H15" s="301"/>
      <c r="I15" s="299"/>
      <c r="J15" s="300"/>
    </row>
    <row r="16" spans="2:10" x14ac:dyDescent="0.2">
      <c r="B16" s="114" t="s">
        <v>25</v>
      </c>
      <c r="C16" s="115" t="s">
        <v>26</v>
      </c>
      <c r="D16" s="294"/>
      <c r="E16" s="116" t="s">
        <v>329</v>
      </c>
      <c r="F16" s="117" t="s">
        <v>330</v>
      </c>
      <c r="G16" s="118" t="s">
        <v>331</v>
      </c>
      <c r="H16" s="116" t="s">
        <v>329</v>
      </c>
      <c r="I16" s="117" t="s">
        <v>330</v>
      </c>
      <c r="J16" s="118" t="s">
        <v>331</v>
      </c>
    </row>
    <row r="17" spans="2:10" ht="14.25" thickBot="1" x14ac:dyDescent="0.25">
      <c r="B17" s="119"/>
      <c r="C17" s="119" t="s">
        <v>22</v>
      </c>
      <c r="D17" s="120" t="s">
        <v>14</v>
      </c>
      <c r="E17" s="121" t="s">
        <v>332</v>
      </c>
      <c r="F17" s="122" t="s">
        <v>332</v>
      </c>
      <c r="G17" s="123" t="s">
        <v>333</v>
      </c>
      <c r="H17" s="121" t="s">
        <v>332</v>
      </c>
      <c r="I17" s="122" t="s">
        <v>332</v>
      </c>
      <c r="J17" s="123" t="s">
        <v>333</v>
      </c>
    </row>
    <row r="18" spans="2:10" ht="13.5" thickBot="1" x14ac:dyDescent="0.25">
      <c r="B18" s="124"/>
      <c r="C18" s="125"/>
      <c r="D18" s="126"/>
      <c r="E18" s="125"/>
      <c r="F18" s="125"/>
      <c r="G18" s="125"/>
      <c r="H18" s="125"/>
      <c r="I18" s="125"/>
      <c r="J18" s="127"/>
    </row>
    <row r="19" spans="2:10" s="131" customFormat="1" x14ac:dyDescent="0.25">
      <c r="B19" s="137" t="s">
        <v>341</v>
      </c>
      <c r="C19" s="128">
        <v>0.18264</v>
      </c>
      <c r="D19" s="279">
        <f>(C19-C20)*1000</f>
        <v>5.0099999999999865</v>
      </c>
      <c r="E19" s="129">
        <v>11.86</v>
      </c>
      <c r="F19" s="302">
        <f>+(E19+E20)/2</f>
        <v>11.86</v>
      </c>
      <c r="G19" s="266">
        <f>D19*F19</f>
        <v>59.418599999999834</v>
      </c>
      <c r="H19" s="130">
        <v>2.87</v>
      </c>
      <c r="I19" s="302">
        <f>+(H19+H20)/2</f>
        <v>2.87</v>
      </c>
      <c r="J19" s="266">
        <f>D19*I19</f>
        <v>14.378699999999961</v>
      </c>
    </row>
    <row r="20" spans="2:10" s="131" customFormat="1" ht="13.5" thickBot="1" x14ac:dyDescent="0.3">
      <c r="B20" s="275" t="s">
        <v>21</v>
      </c>
      <c r="C20" s="272">
        <v>0.17763000000000001</v>
      </c>
      <c r="D20" s="284"/>
      <c r="E20" s="274">
        <v>11.86</v>
      </c>
      <c r="F20" s="269"/>
      <c r="G20" s="267"/>
      <c r="H20" s="274">
        <v>2.87</v>
      </c>
      <c r="I20" s="269"/>
      <c r="J20" s="267"/>
    </row>
    <row r="21" spans="2:10" s="131" customFormat="1" x14ac:dyDescent="0.25">
      <c r="B21" s="278"/>
      <c r="C21" s="285"/>
      <c r="D21" s="279">
        <f>-(C22-C20)*1000</f>
        <v>12.810000000000016</v>
      </c>
      <c r="E21" s="278"/>
      <c r="F21" s="268">
        <f>+(E20+E22)/2</f>
        <v>12.565</v>
      </c>
      <c r="G21" s="266">
        <f t="shared" ref="G21" si="0">D21*F21</f>
        <v>160.9576500000002</v>
      </c>
      <c r="H21" s="278"/>
      <c r="I21" s="268">
        <f>+(H20+H22)/2</f>
        <v>3.2450000000000001</v>
      </c>
      <c r="J21" s="266">
        <f>D21*I21</f>
        <v>41.568450000000055</v>
      </c>
    </row>
    <row r="22" spans="2:10" s="131" customFormat="1" ht="12.75" customHeight="1" thickBot="1" x14ac:dyDescent="0.3">
      <c r="B22" s="275" t="s">
        <v>20</v>
      </c>
      <c r="C22" s="272">
        <v>0.16481999999999999</v>
      </c>
      <c r="D22" s="284"/>
      <c r="E22" s="274">
        <v>13.27</v>
      </c>
      <c r="F22" s="269"/>
      <c r="G22" s="267"/>
      <c r="H22" s="274">
        <v>3.62</v>
      </c>
      <c r="I22" s="269"/>
      <c r="J22" s="267"/>
    </row>
    <row r="23" spans="2:10" s="131" customFormat="1" x14ac:dyDescent="0.25">
      <c r="B23" s="278"/>
      <c r="C23" s="285"/>
      <c r="D23" s="279">
        <f>-(C24-C22)*1000</f>
        <v>6.6199999999999868</v>
      </c>
      <c r="E23" s="278"/>
      <c r="F23" s="268">
        <f>+(E22+E24)/2</f>
        <v>21.4</v>
      </c>
      <c r="G23" s="266">
        <f t="shared" ref="G23" si="1">D23*F23</f>
        <v>141.66799999999969</v>
      </c>
      <c r="H23" s="278"/>
      <c r="I23" s="268">
        <f>+(H22+H24)/2</f>
        <v>4.78</v>
      </c>
      <c r="J23" s="266">
        <f t="shared" ref="J23" si="2">D23*I23</f>
        <v>31.643599999999939</v>
      </c>
    </row>
    <row r="24" spans="2:10" s="131" customFormat="1" ht="12.75" customHeight="1" thickBot="1" x14ac:dyDescent="0.3">
      <c r="B24" s="270" t="s">
        <v>19</v>
      </c>
      <c r="C24" s="272">
        <v>0.15820000000000001</v>
      </c>
      <c r="D24" s="284"/>
      <c r="E24" s="274">
        <v>29.53</v>
      </c>
      <c r="F24" s="269"/>
      <c r="G24" s="267"/>
      <c r="H24" s="274">
        <v>5.94</v>
      </c>
      <c r="I24" s="269"/>
      <c r="J24" s="267"/>
    </row>
    <row r="25" spans="2:10" s="131" customFormat="1" x14ac:dyDescent="0.25">
      <c r="B25" s="278"/>
      <c r="C25" s="285"/>
      <c r="D25" s="279">
        <f>-(C26-C24)*1000</f>
        <v>6.1500000000000163</v>
      </c>
      <c r="E25" s="278"/>
      <c r="F25" s="268">
        <f>+(E24+E26)/2</f>
        <v>27.72</v>
      </c>
      <c r="G25" s="266">
        <f t="shared" ref="G25" si="3">D25*F25</f>
        <v>170.47800000000043</v>
      </c>
      <c r="H25" s="278"/>
      <c r="I25" s="268">
        <f>+(H24+H26)/2</f>
        <v>13.66</v>
      </c>
      <c r="J25" s="266">
        <f t="shared" ref="J25" si="4">D25*I25</f>
        <v>84.009000000000228</v>
      </c>
    </row>
    <row r="26" spans="2:10" s="131" customFormat="1" ht="12.75" customHeight="1" thickBot="1" x14ac:dyDescent="0.3">
      <c r="B26" s="275" t="s">
        <v>340</v>
      </c>
      <c r="C26" s="272">
        <v>0.15204999999999999</v>
      </c>
      <c r="D26" s="284"/>
      <c r="E26" s="274">
        <v>25.91</v>
      </c>
      <c r="F26" s="269"/>
      <c r="G26" s="267"/>
      <c r="H26" s="274">
        <v>21.38</v>
      </c>
      <c r="I26" s="269"/>
      <c r="J26" s="267"/>
    </row>
    <row r="27" spans="2:10" s="131" customFormat="1" x14ac:dyDescent="0.25">
      <c r="B27" s="278"/>
      <c r="C27" s="285"/>
      <c r="D27" s="279">
        <f>-(C28-C26)*1000</f>
        <v>6.0099999999999874</v>
      </c>
      <c r="E27" s="278"/>
      <c r="F27" s="268">
        <f>+(E26+E28)/2</f>
        <v>23.824999999999999</v>
      </c>
      <c r="G27" s="266">
        <f t="shared" ref="G27" si="5">D27*F27</f>
        <v>143.1882499999997</v>
      </c>
      <c r="H27" s="278"/>
      <c r="I27" s="268">
        <f>+(H26+H28)/2</f>
        <v>18.100000000000001</v>
      </c>
      <c r="J27" s="266">
        <f t="shared" ref="J27" si="6">D27*I27</f>
        <v>108.78099999999978</v>
      </c>
    </row>
    <row r="28" spans="2:10" s="131" customFormat="1" ht="12.75" customHeight="1" thickBot="1" x14ac:dyDescent="0.3">
      <c r="B28" s="270" t="s">
        <v>339</v>
      </c>
      <c r="C28" s="272">
        <v>0.14604</v>
      </c>
      <c r="D28" s="284"/>
      <c r="E28" s="274">
        <v>21.74</v>
      </c>
      <c r="F28" s="269"/>
      <c r="G28" s="267"/>
      <c r="H28" s="274">
        <v>14.82</v>
      </c>
      <c r="I28" s="269"/>
      <c r="J28" s="267"/>
    </row>
    <row r="29" spans="2:10" s="131" customFormat="1" x14ac:dyDescent="0.25">
      <c r="B29" s="278"/>
      <c r="C29" s="285"/>
      <c r="D29" s="279">
        <f>-(C30-C28)*1000</f>
        <v>7.8300000000000036</v>
      </c>
      <c r="E29" s="278"/>
      <c r="F29" s="268">
        <f>+(E28+E30)/2</f>
        <v>24.614999999999998</v>
      </c>
      <c r="G29" s="266">
        <f t="shared" ref="G29" si="7">D29*F29</f>
        <v>192.73545000000007</v>
      </c>
      <c r="H29" s="278"/>
      <c r="I29" s="268">
        <f>+(H28+H30)/2</f>
        <v>14.120000000000001</v>
      </c>
      <c r="J29" s="266">
        <f t="shared" ref="J29" si="8">D29*I29</f>
        <v>110.55960000000006</v>
      </c>
    </row>
    <row r="30" spans="2:10" s="131" customFormat="1" ht="12.75" customHeight="1" thickBot="1" x14ac:dyDescent="0.3">
      <c r="B30" s="275" t="s">
        <v>76</v>
      </c>
      <c r="C30" s="272">
        <v>0.13821</v>
      </c>
      <c r="D30" s="284"/>
      <c r="E30" s="274">
        <v>27.49</v>
      </c>
      <c r="F30" s="269"/>
      <c r="G30" s="267"/>
      <c r="H30" s="274">
        <v>13.42</v>
      </c>
      <c r="I30" s="269"/>
      <c r="J30" s="267"/>
    </row>
    <row r="31" spans="2:10" s="131" customFormat="1" x14ac:dyDescent="0.25">
      <c r="B31" s="278"/>
      <c r="C31" s="285"/>
      <c r="D31" s="279">
        <f>-(C32-C30)*1000</f>
        <v>4.8799999999999955</v>
      </c>
      <c r="E31" s="278"/>
      <c r="F31" s="268">
        <f>+(E30+E32)/2</f>
        <v>24.914999999999999</v>
      </c>
      <c r="G31" s="266">
        <f t="shared" ref="G31" si="9">D31*F31</f>
        <v>121.58519999999989</v>
      </c>
      <c r="H31" s="278"/>
      <c r="I31" s="268">
        <f>+(H30+H32)/2</f>
        <v>11.809999999999999</v>
      </c>
      <c r="J31" s="266">
        <f t="shared" ref="J31" si="10">D31*I31</f>
        <v>57.632799999999939</v>
      </c>
    </row>
    <row r="32" spans="2:10" s="131" customFormat="1" ht="13.5" thickBot="1" x14ac:dyDescent="0.3">
      <c r="B32" s="275" t="s">
        <v>338</v>
      </c>
      <c r="C32" s="272">
        <v>0.13333</v>
      </c>
      <c r="D32" s="284"/>
      <c r="E32" s="274">
        <v>22.34</v>
      </c>
      <c r="F32" s="269"/>
      <c r="G32" s="267"/>
      <c r="H32" s="274">
        <v>10.199999999999999</v>
      </c>
      <c r="I32" s="269"/>
      <c r="J32" s="267"/>
    </row>
    <row r="33" spans="2:12" s="131" customFormat="1" x14ac:dyDescent="0.25">
      <c r="B33" s="278"/>
      <c r="C33" s="285"/>
      <c r="D33" s="279">
        <f>-(C34-C32)*1000</f>
        <v>5.2900000000000169</v>
      </c>
      <c r="E33" s="278"/>
      <c r="F33" s="268">
        <f>+(E32+E34)/2</f>
        <v>22.285</v>
      </c>
      <c r="G33" s="266">
        <f t="shared" ref="G33" si="11">D33*F33</f>
        <v>117.88765000000038</v>
      </c>
      <c r="H33" s="278"/>
      <c r="I33" s="268">
        <f>+(H32+H34)/2</f>
        <v>9.5350000000000001</v>
      </c>
      <c r="J33" s="266">
        <f t="shared" ref="J33" si="12">D33*I33</f>
        <v>50.440150000000159</v>
      </c>
    </row>
    <row r="34" spans="2:12" s="131" customFormat="1" ht="12.75" customHeight="1" thickBot="1" x14ac:dyDescent="0.3">
      <c r="B34" s="275" t="s">
        <v>337</v>
      </c>
      <c r="C34" s="272">
        <v>0.12803999999999999</v>
      </c>
      <c r="D34" s="284"/>
      <c r="E34" s="274">
        <v>22.23</v>
      </c>
      <c r="F34" s="269"/>
      <c r="G34" s="267"/>
      <c r="H34" s="274">
        <v>8.8699999999999992</v>
      </c>
      <c r="I34" s="269"/>
      <c r="J34" s="267"/>
    </row>
    <row r="35" spans="2:12" s="131" customFormat="1" x14ac:dyDescent="0.25">
      <c r="B35" s="278"/>
      <c r="C35" s="285"/>
      <c r="D35" s="279">
        <f>-(C36-C34)*1000</f>
        <v>5.9899999999999816</v>
      </c>
      <c r="E35" s="278"/>
      <c r="F35" s="268">
        <f>+(E34+E36)/2</f>
        <v>23.82</v>
      </c>
      <c r="G35" s="266">
        <f t="shared" ref="G35" si="13">D35*F35</f>
        <v>142.68179999999955</v>
      </c>
      <c r="H35" s="278"/>
      <c r="I35" s="268">
        <f>+(H34+H36)/2</f>
        <v>8.754999999999999</v>
      </c>
      <c r="J35" s="266">
        <f t="shared" ref="J35" si="14">D35*I35</f>
        <v>52.44244999999983</v>
      </c>
    </row>
    <row r="36" spans="2:12" s="131" customFormat="1" ht="13.5" thickBot="1" x14ac:dyDescent="0.3">
      <c r="B36" s="275" t="s">
        <v>336</v>
      </c>
      <c r="C36" s="272">
        <v>0.12205000000000001</v>
      </c>
      <c r="D36" s="284"/>
      <c r="E36" s="274">
        <v>25.41</v>
      </c>
      <c r="F36" s="269"/>
      <c r="G36" s="267"/>
      <c r="H36" s="274">
        <v>8.64</v>
      </c>
      <c r="I36" s="269"/>
      <c r="J36" s="267"/>
    </row>
    <row r="37" spans="2:12" s="131" customFormat="1" x14ac:dyDescent="0.25">
      <c r="B37" s="278"/>
      <c r="C37" s="285"/>
      <c r="D37" s="279">
        <f>-(C38-C36)*1000</f>
        <v>8.77</v>
      </c>
      <c r="E37" s="276"/>
      <c r="F37" s="286">
        <f>+(E36+E38)/2</f>
        <v>15.120000000000001</v>
      </c>
      <c r="G37" s="266">
        <f t="shared" ref="G37" si="15">D37*F37</f>
        <v>132.60239999999999</v>
      </c>
      <c r="H37" s="278"/>
      <c r="I37" s="286">
        <f>+(H36+H38)/2</f>
        <v>4.7200000000000006</v>
      </c>
      <c r="J37" s="266">
        <f t="shared" ref="J37" si="16">D37*I37</f>
        <v>41.394400000000005</v>
      </c>
    </row>
    <row r="38" spans="2:12" s="131" customFormat="1" ht="13.5" thickBot="1" x14ac:dyDescent="0.3">
      <c r="B38" s="275" t="s">
        <v>18</v>
      </c>
      <c r="C38" s="272">
        <v>0.11328000000000001</v>
      </c>
      <c r="D38" s="284"/>
      <c r="E38" s="274">
        <v>4.83</v>
      </c>
      <c r="F38" s="269"/>
      <c r="G38" s="267"/>
      <c r="H38" s="274">
        <v>0.8</v>
      </c>
      <c r="I38" s="269"/>
      <c r="J38" s="267"/>
    </row>
    <row r="39" spans="2:12" s="131" customFormat="1" x14ac:dyDescent="0.25">
      <c r="B39" s="278"/>
      <c r="C39" s="285"/>
      <c r="D39" s="279">
        <f>-(C40-C38)*1000</f>
        <v>7.2500000000000062</v>
      </c>
      <c r="E39" s="278"/>
      <c r="F39" s="268">
        <f>+(E38+E40)/2</f>
        <v>4.5150000000000006</v>
      </c>
      <c r="G39" s="266">
        <f t="shared" ref="G39" si="17">D39*F39</f>
        <v>32.733750000000029</v>
      </c>
      <c r="H39" s="278"/>
      <c r="I39" s="268">
        <f>+(H38+H40)/2</f>
        <v>0.89</v>
      </c>
      <c r="J39" s="266">
        <f t="shared" ref="J39" si="18">D39*I39</f>
        <v>6.4525000000000059</v>
      </c>
    </row>
    <row r="40" spans="2:12" s="131" customFormat="1" ht="13.5" thickBot="1" x14ac:dyDescent="0.3">
      <c r="B40" s="275" t="s">
        <v>17</v>
      </c>
      <c r="C40" s="272">
        <v>0.10603</v>
      </c>
      <c r="D40" s="284"/>
      <c r="E40" s="274">
        <v>4.2</v>
      </c>
      <c r="F40" s="269"/>
      <c r="G40" s="267"/>
      <c r="H40" s="274">
        <v>0.98</v>
      </c>
      <c r="I40" s="269"/>
      <c r="J40" s="267"/>
    </row>
    <row r="41" spans="2:12" s="131" customFormat="1" x14ac:dyDescent="0.25">
      <c r="B41" s="278"/>
      <c r="C41" s="285"/>
      <c r="D41" s="279">
        <f>-(C42-C40)*1000</f>
        <v>11.029999999999998</v>
      </c>
      <c r="E41" s="278"/>
      <c r="F41" s="268">
        <f>+(E40+E42)/2</f>
        <v>5.48</v>
      </c>
      <c r="G41" s="266">
        <f t="shared" ref="G41" si="19">D41*F41</f>
        <v>60.444399999999995</v>
      </c>
      <c r="H41" s="278"/>
      <c r="I41" s="268">
        <f>+(H40+H42)/2</f>
        <v>0.94500000000000006</v>
      </c>
      <c r="J41" s="266">
        <f t="shared" ref="J41" si="20">D41*I41</f>
        <v>10.423349999999999</v>
      </c>
    </row>
    <row r="42" spans="2:12" s="131" customFormat="1" ht="13.5" thickBot="1" x14ac:dyDescent="0.3">
      <c r="B42" s="275" t="s">
        <v>16</v>
      </c>
      <c r="C42" s="272">
        <v>9.5000000000000001E-2</v>
      </c>
      <c r="D42" s="284"/>
      <c r="E42" s="274">
        <v>6.76</v>
      </c>
      <c r="F42" s="269"/>
      <c r="G42" s="267"/>
      <c r="H42" s="274">
        <v>0.91</v>
      </c>
      <c r="I42" s="269"/>
      <c r="J42" s="267"/>
    </row>
    <row r="43" spans="2:12" s="131" customFormat="1" x14ac:dyDescent="0.25">
      <c r="B43" s="278"/>
      <c r="C43" s="285"/>
      <c r="D43" s="279">
        <f>-(C44-C42)*1000</f>
        <v>12.6</v>
      </c>
      <c r="E43" s="278"/>
      <c r="F43" s="268">
        <f>+(E42+E44)/2</f>
        <v>3.9350000000000001</v>
      </c>
      <c r="G43" s="266">
        <f t="shared" ref="G43" si="21">D43*F43</f>
        <v>49.580999999999996</v>
      </c>
      <c r="H43" s="278"/>
      <c r="I43" s="268">
        <f>+(H42+H44)/2</f>
        <v>0.45500000000000002</v>
      </c>
      <c r="J43" s="266">
        <f t="shared" ref="J43" si="22">D43*I43</f>
        <v>5.7329999999999997</v>
      </c>
    </row>
    <row r="44" spans="2:12" s="131" customFormat="1" ht="13.5" thickBot="1" x14ac:dyDescent="0.3">
      <c r="B44" s="275" t="s">
        <v>15</v>
      </c>
      <c r="C44" s="272">
        <v>8.2400000000000001E-2</v>
      </c>
      <c r="D44" s="284"/>
      <c r="E44" s="274">
        <v>1.1100000000000001</v>
      </c>
      <c r="F44" s="269"/>
      <c r="G44" s="267"/>
      <c r="H44" s="274">
        <v>0</v>
      </c>
      <c r="I44" s="269"/>
      <c r="J44" s="267"/>
    </row>
    <row r="45" spans="2:12" s="131" customFormat="1" x14ac:dyDescent="0.25">
      <c r="B45" s="278"/>
      <c r="C45" s="285"/>
      <c r="D45" s="279">
        <f>-(C46-C44)*1000</f>
        <v>34.25</v>
      </c>
      <c r="E45" s="278"/>
      <c r="F45" s="268">
        <f>+(E44+E46)/2</f>
        <v>1.1100000000000001</v>
      </c>
      <c r="G45" s="266">
        <f t="shared" ref="G45" si="23">D45*F45</f>
        <v>38.017500000000005</v>
      </c>
      <c r="H45" s="278"/>
      <c r="I45" s="268">
        <f>+(H44+H46)/2</f>
        <v>0</v>
      </c>
      <c r="J45" s="266">
        <f t="shared" ref="J45" si="24">D45*I45</f>
        <v>0</v>
      </c>
    </row>
    <row r="46" spans="2:12" s="131" customFormat="1" ht="13.5" thickBot="1" x14ac:dyDescent="0.3">
      <c r="B46" s="275"/>
      <c r="C46" s="272">
        <v>4.8149999999999998E-2</v>
      </c>
      <c r="D46" s="284"/>
      <c r="E46" s="274">
        <v>1.1100000000000001</v>
      </c>
      <c r="F46" s="269"/>
      <c r="G46" s="267"/>
      <c r="H46" s="274">
        <v>0</v>
      </c>
      <c r="I46" s="269"/>
      <c r="J46" s="267"/>
      <c r="L46" s="132"/>
    </row>
    <row r="47" spans="2:12" s="131" customFormat="1" x14ac:dyDescent="0.25">
      <c r="B47" s="278"/>
      <c r="C47" s="285"/>
      <c r="D47" s="279">
        <f>-(C48-C46)*1000</f>
        <v>2.0000000000000018</v>
      </c>
      <c r="E47" s="278"/>
      <c r="F47" s="268">
        <f>+(E46+E48)/2</f>
        <v>12.43</v>
      </c>
      <c r="G47" s="266">
        <f t="shared" ref="G47" si="25">D47*F47</f>
        <v>24.860000000000021</v>
      </c>
      <c r="H47" s="276"/>
      <c r="I47" s="268">
        <f>+(H46+H48)/2</f>
        <v>0</v>
      </c>
      <c r="J47" s="266">
        <f t="shared" ref="J47" si="26">D47*I47</f>
        <v>0</v>
      </c>
    </row>
    <row r="48" spans="2:12" s="131" customFormat="1" ht="12.75" customHeight="1" thickBot="1" x14ac:dyDescent="0.3">
      <c r="B48" s="275" t="s">
        <v>335</v>
      </c>
      <c r="C48" s="272">
        <v>4.6149999999999997E-2</v>
      </c>
      <c r="D48" s="284"/>
      <c r="E48" s="274">
        <v>23.75</v>
      </c>
      <c r="F48" s="269"/>
      <c r="G48" s="267"/>
      <c r="H48" s="274">
        <v>0</v>
      </c>
      <c r="I48" s="269"/>
      <c r="J48" s="267"/>
    </row>
    <row r="49" spans="2:10" s="131" customFormat="1" x14ac:dyDescent="0.25">
      <c r="B49" s="278"/>
      <c r="C49" s="285"/>
      <c r="D49" s="279">
        <f>-(C50-C48)*1000</f>
        <v>4.9399999999999995</v>
      </c>
      <c r="E49" s="278"/>
      <c r="F49" s="268">
        <f>+(E48+E50)/2</f>
        <v>23.75</v>
      </c>
      <c r="G49" s="266">
        <f t="shared" ref="G49" si="27">D49*F49</f>
        <v>117.32499999999999</v>
      </c>
      <c r="H49" s="276"/>
      <c r="I49" s="268">
        <f>+(H48+H50)/2</f>
        <v>0</v>
      </c>
      <c r="J49" s="266">
        <f t="shared" ref="J49" si="28">D49*I49</f>
        <v>0</v>
      </c>
    </row>
    <row r="50" spans="2:10" s="131" customFormat="1" ht="13.5" thickBot="1" x14ac:dyDescent="0.3">
      <c r="B50" s="270" t="s">
        <v>328</v>
      </c>
      <c r="C50" s="272">
        <v>4.1209999999999997E-2</v>
      </c>
      <c r="D50" s="284"/>
      <c r="E50" s="274">
        <v>23.75</v>
      </c>
      <c r="F50" s="269"/>
      <c r="G50" s="267"/>
      <c r="H50" s="274">
        <v>0</v>
      </c>
      <c r="I50" s="269"/>
      <c r="J50" s="267"/>
    </row>
    <row r="51" spans="2:10" s="131" customFormat="1" x14ac:dyDescent="0.25">
      <c r="B51" s="278"/>
      <c r="C51" s="277"/>
      <c r="D51" s="279">
        <f>-(C52-C50)*1000</f>
        <v>6.14</v>
      </c>
      <c r="E51" s="278"/>
      <c r="F51" s="268">
        <f>+(E50+E52)/2</f>
        <v>23.75</v>
      </c>
      <c r="G51" s="266">
        <f t="shared" ref="G51" si="29">D51*F51</f>
        <v>145.82499999999999</v>
      </c>
      <c r="H51" s="276"/>
      <c r="I51" s="268">
        <f>+(H50+H52)/2</f>
        <v>0</v>
      </c>
      <c r="J51" s="266">
        <f t="shared" ref="J51" si="30">D51*I51</f>
        <v>0</v>
      </c>
    </row>
    <row r="52" spans="2:10" s="131" customFormat="1" ht="12.75" customHeight="1" thickBot="1" x14ac:dyDescent="0.3">
      <c r="B52" s="275" t="s">
        <v>334</v>
      </c>
      <c r="C52" s="272">
        <v>3.5069999999999997E-2</v>
      </c>
      <c r="D52" s="284"/>
      <c r="E52" s="274">
        <v>23.75</v>
      </c>
      <c r="F52" s="269"/>
      <c r="G52" s="267"/>
      <c r="H52" s="274">
        <v>0</v>
      </c>
      <c r="I52" s="269"/>
      <c r="J52" s="267"/>
    </row>
    <row r="53" spans="2:10" s="131" customFormat="1" x14ac:dyDescent="0.25">
      <c r="B53" s="278"/>
      <c r="C53" s="277"/>
      <c r="D53" s="279">
        <f>-(C54-C52)*1000</f>
        <v>1.9999999999999949</v>
      </c>
      <c r="E53" s="278"/>
      <c r="F53" s="268">
        <f>+(E52+E54)/2</f>
        <v>11.875</v>
      </c>
      <c r="G53" s="266">
        <f t="shared" ref="G53" si="31">D53*F53</f>
        <v>23.74999999999994</v>
      </c>
      <c r="H53" s="276"/>
      <c r="I53" s="268">
        <f>+(H52+H54)/2</f>
        <v>0</v>
      </c>
      <c r="J53" s="266">
        <f t="shared" ref="J53" si="32">D53*I53</f>
        <v>0</v>
      </c>
    </row>
    <row r="54" spans="2:10" s="131" customFormat="1" ht="13.5" thickBot="1" x14ac:dyDescent="0.3">
      <c r="B54" s="270"/>
      <c r="C54" s="272">
        <v>3.3070000000000002E-2</v>
      </c>
      <c r="D54" s="284"/>
      <c r="E54" s="274">
        <v>0</v>
      </c>
      <c r="F54" s="269"/>
      <c r="G54" s="267"/>
      <c r="H54" s="274">
        <v>0</v>
      </c>
      <c r="I54" s="269"/>
      <c r="J54" s="267"/>
    </row>
    <row r="55" spans="2:10" s="131" customFormat="1" x14ac:dyDescent="0.25">
      <c r="B55" s="276"/>
      <c r="C55" s="277"/>
      <c r="D55" s="279">
        <f>-(C56-C54)*1000</f>
        <v>33.07</v>
      </c>
      <c r="E55" s="278"/>
      <c r="F55" s="268">
        <f>+(E54+E56)/2</f>
        <v>0</v>
      </c>
      <c r="G55" s="266">
        <f t="shared" ref="G55" si="33">D55*F55</f>
        <v>0</v>
      </c>
      <c r="H55" s="276"/>
      <c r="I55" s="268">
        <f>+(H54+H56)/2</f>
        <v>0</v>
      </c>
      <c r="J55" s="266">
        <f t="shared" ref="J55" si="34">D55*I55</f>
        <v>0</v>
      </c>
    </row>
    <row r="56" spans="2:10" s="131" customFormat="1" ht="13.5" thickBot="1" x14ac:dyDescent="0.3">
      <c r="B56" s="275" t="s">
        <v>342</v>
      </c>
      <c r="C56" s="272">
        <v>0</v>
      </c>
      <c r="D56" s="284"/>
      <c r="E56" s="274">
        <v>0</v>
      </c>
      <c r="F56" s="269"/>
      <c r="G56" s="267"/>
      <c r="H56" s="274">
        <v>0</v>
      </c>
      <c r="I56" s="269"/>
      <c r="J56" s="267"/>
    </row>
    <row r="57" spans="2:10" s="131" customFormat="1" x14ac:dyDescent="0.25">
      <c r="B57" s="276"/>
      <c r="C57" s="277"/>
      <c r="D57" s="279"/>
      <c r="E57" s="278"/>
      <c r="F57" s="268"/>
      <c r="G57" s="282">
        <f>SUM(G19:G55)</f>
        <v>1875.73965</v>
      </c>
      <c r="H57" s="276"/>
      <c r="I57" s="268"/>
      <c r="J57" s="266">
        <f>SUM(J19:J56)</f>
        <v>615.45899999999983</v>
      </c>
    </row>
    <row r="58" spans="2:10" s="131" customFormat="1" ht="13.5" thickBot="1" x14ac:dyDescent="0.3">
      <c r="B58" s="270"/>
      <c r="C58" s="272"/>
      <c r="D58" s="280"/>
      <c r="E58" s="274"/>
      <c r="F58" s="281"/>
      <c r="G58" s="283"/>
      <c r="H58" s="274"/>
      <c r="I58" s="281"/>
      <c r="J58" s="267"/>
    </row>
    <row r="59" spans="2:10" s="131" customFormat="1" ht="13.5" thickBot="1" x14ac:dyDescent="0.3">
      <c r="B59" s="271"/>
      <c r="C59" s="273"/>
      <c r="D59" s="133"/>
      <c r="E59" s="271"/>
      <c r="F59" s="134"/>
      <c r="G59" s="135"/>
      <c r="H59" s="271"/>
      <c r="I59" s="134"/>
      <c r="J59" s="135"/>
    </row>
  </sheetData>
  <mergeCells count="186">
    <mergeCell ref="B13:C15"/>
    <mergeCell ref="D13:D16"/>
    <mergeCell ref="E13:G13"/>
    <mergeCell ref="H13:J13"/>
    <mergeCell ref="E14:G15"/>
    <mergeCell ref="H14:J15"/>
    <mergeCell ref="B20:B21"/>
    <mergeCell ref="C20:C21"/>
    <mergeCell ref="E20:E21"/>
    <mergeCell ref="H20:H21"/>
    <mergeCell ref="D21:D22"/>
    <mergeCell ref="F21:F22"/>
    <mergeCell ref="G21:G22"/>
    <mergeCell ref="I21:I22"/>
    <mergeCell ref="D19:D20"/>
    <mergeCell ref="F19:F20"/>
    <mergeCell ref="G19:G20"/>
    <mergeCell ref="I19:I20"/>
    <mergeCell ref="J19:J20"/>
    <mergeCell ref="B24:B25"/>
    <mergeCell ref="C24:C25"/>
    <mergeCell ref="E24:E25"/>
    <mergeCell ref="H24:H25"/>
    <mergeCell ref="J21:J22"/>
    <mergeCell ref="B22:B23"/>
    <mergeCell ref="C22:C23"/>
    <mergeCell ref="E22:E23"/>
    <mergeCell ref="H22:H23"/>
    <mergeCell ref="D23:D24"/>
    <mergeCell ref="F23:F24"/>
    <mergeCell ref="F25:F26"/>
    <mergeCell ref="G25:G26"/>
    <mergeCell ref="I25:I26"/>
    <mergeCell ref="J25:J26"/>
    <mergeCell ref="G23:G24"/>
    <mergeCell ref="I23:I24"/>
    <mergeCell ref="J23:J24"/>
    <mergeCell ref="B30:B31"/>
    <mergeCell ref="C30:C31"/>
    <mergeCell ref="E30:E31"/>
    <mergeCell ref="H30:H31"/>
    <mergeCell ref="J27:J28"/>
    <mergeCell ref="B28:B29"/>
    <mergeCell ref="C28:C29"/>
    <mergeCell ref="E28:E29"/>
    <mergeCell ref="H28:H29"/>
    <mergeCell ref="D29:D30"/>
    <mergeCell ref="F29:F30"/>
    <mergeCell ref="B26:B27"/>
    <mergeCell ref="C26:C27"/>
    <mergeCell ref="E26:E27"/>
    <mergeCell ref="H26:H27"/>
    <mergeCell ref="D27:D28"/>
    <mergeCell ref="F27:F28"/>
    <mergeCell ref="G27:G28"/>
    <mergeCell ref="I27:I28"/>
    <mergeCell ref="D25:D26"/>
    <mergeCell ref="F31:F32"/>
    <mergeCell ref="G31:G32"/>
    <mergeCell ref="I31:I32"/>
    <mergeCell ref="J31:J32"/>
    <mergeCell ref="G29:G30"/>
    <mergeCell ref="I29:I30"/>
    <mergeCell ref="J29:J30"/>
    <mergeCell ref="B36:B37"/>
    <mergeCell ref="C36:C37"/>
    <mergeCell ref="E36:E37"/>
    <mergeCell ref="H36:H37"/>
    <mergeCell ref="J33:J34"/>
    <mergeCell ref="B34:B35"/>
    <mergeCell ref="C34:C35"/>
    <mergeCell ref="E34:E35"/>
    <mergeCell ref="H34:H35"/>
    <mergeCell ref="D35:D36"/>
    <mergeCell ref="F35:F36"/>
    <mergeCell ref="B32:B33"/>
    <mergeCell ref="C32:C33"/>
    <mergeCell ref="E32:E33"/>
    <mergeCell ref="H32:H33"/>
    <mergeCell ref="D33:D34"/>
    <mergeCell ref="F33:F34"/>
    <mergeCell ref="G33:G34"/>
    <mergeCell ref="I33:I34"/>
    <mergeCell ref="D31:D32"/>
    <mergeCell ref="F37:F38"/>
    <mergeCell ref="G35:G36"/>
    <mergeCell ref="I35:I36"/>
    <mergeCell ref="J35:J36"/>
    <mergeCell ref="B42:B43"/>
    <mergeCell ref="C42:C43"/>
    <mergeCell ref="E42:E43"/>
    <mergeCell ref="H42:H43"/>
    <mergeCell ref="J39:J40"/>
    <mergeCell ref="B40:B41"/>
    <mergeCell ref="C40:C41"/>
    <mergeCell ref="E40:E41"/>
    <mergeCell ref="H40:H41"/>
    <mergeCell ref="D41:D42"/>
    <mergeCell ref="F41:F42"/>
    <mergeCell ref="B38:B39"/>
    <mergeCell ref="C38:C39"/>
    <mergeCell ref="E38:E39"/>
    <mergeCell ref="H38:H39"/>
    <mergeCell ref="D39:D40"/>
    <mergeCell ref="F39:F40"/>
    <mergeCell ref="G39:G40"/>
    <mergeCell ref="I39:I40"/>
    <mergeCell ref="D37:D38"/>
    <mergeCell ref="F43:F44"/>
    <mergeCell ref="G43:G44"/>
    <mergeCell ref="I43:I44"/>
    <mergeCell ref="J43:J44"/>
    <mergeCell ref="G41:G42"/>
    <mergeCell ref="I41:I42"/>
    <mergeCell ref="J41:J42"/>
    <mergeCell ref="G37:G38"/>
    <mergeCell ref="I37:I38"/>
    <mergeCell ref="J37:J38"/>
    <mergeCell ref="B48:B49"/>
    <mergeCell ref="C48:C49"/>
    <mergeCell ref="E48:E49"/>
    <mergeCell ref="H48:H49"/>
    <mergeCell ref="J45:J46"/>
    <mergeCell ref="B46:B47"/>
    <mergeCell ref="C46:C47"/>
    <mergeCell ref="E46:E47"/>
    <mergeCell ref="H46:H47"/>
    <mergeCell ref="D47:D48"/>
    <mergeCell ref="F47:F48"/>
    <mergeCell ref="B44:B45"/>
    <mergeCell ref="C44:C45"/>
    <mergeCell ref="E44:E45"/>
    <mergeCell ref="H44:H45"/>
    <mergeCell ref="D45:D46"/>
    <mergeCell ref="F45:F46"/>
    <mergeCell ref="G45:G46"/>
    <mergeCell ref="I45:I46"/>
    <mergeCell ref="D43:D44"/>
    <mergeCell ref="F49:F50"/>
    <mergeCell ref="G49:G50"/>
    <mergeCell ref="I49:I50"/>
    <mergeCell ref="J49:J50"/>
    <mergeCell ref="G47:G48"/>
    <mergeCell ref="I47:I48"/>
    <mergeCell ref="J47:J48"/>
    <mergeCell ref="B54:B55"/>
    <mergeCell ref="C54:C55"/>
    <mergeCell ref="E54:E55"/>
    <mergeCell ref="H54:H55"/>
    <mergeCell ref="J51:J52"/>
    <mergeCell ref="B52:B53"/>
    <mergeCell ref="C52:C53"/>
    <mergeCell ref="E52:E53"/>
    <mergeCell ref="H52:H53"/>
    <mergeCell ref="D53:D54"/>
    <mergeCell ref="F53:F54"/>
    <mergeCell ref="B50:B51"/>
    <mergeCell ref="C50:C51"/>
    <mergeCell ref="E50:E51"/>
    <mergeCell ref="H50:H51"/>
    <mergeCell ref="D51:D52"/>
    <mergeCell ref="F51:F52"/>
    <mergeCell ref="G51:G52"/>
    <mergeCell ref="I51:I52"/>
    <mergeCell ref="D49:D50"/>
    <mergeCell ref="F55:F56"/>
    <mergeCell ref="G55:G56"/>
    <mergeCell ref="I55:I56"/>
    <mergeCell ref="J55:J56"/>
    <mergeCell ref="G53:G54"/>
    <mergeCell ref="I53:I54"/>
    <mergeCell ref="J53:J54"/>
    <mergeCell ref="J57:J58"/>
    <mergeCell ref="B58:B59"/>
    <mergeCell ref="C58:C59"/>
    <mergeCell ref="E58:E59"/>
    <mergeCell ref="H58:H59"/>
    <mergeCell ref="B56:B57"/>
    <mergeCell ref="C56:C57"/>
    <mergeCell ref="E56:E57"/>
    <mergeCell ref="H56:H57"/>
    <mergeCell ref="D57:D58"/>
    <mergeCell ref="F57:F58"/>
    <mergeCell ref="G57:G58"/>
    <mergeCell ref="I57:I58"/>
    <mergeCell ref="D55:D56"/>
  </mergeCells>
  <phoneticPr fontId="28" type="noConversion"/>
  <pageMargins left="0.78740157480314965" right="0.19685039370078741" top="0.39370078740157483" bottom="0.39370078740157483" header="0" footer="0"/>
  <pageSetup paperSize="9" orientation="portrait" horizontalDpi="300" verticalDpi="300" r:id="rId1"/>
  <headerFooter alignWithMargins="0">
    <oddFooter>&amp;L&amp;9&amp;F&amp;C&amp;P/&amp;N&amp;R&amp;A</oddFooter>
  </headerFooter>
  <ignoredErrors>
    <ignoredError sqref="D5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42"/>
  <sheetViews>
    <sheetView topLeftCell="A10" zoomScale="115" zoomScaleNormal="115" workbookViewId="0">
      <selection activeCell="H322" sqref="H322"/>
    </sheetView>
  </sheetViews>
  <sheetFormatPr defaultRowHeight="15" x14ac:dyDescent="0.25"/>
  <cols>
    <col min="1" max="1" width="2.7109375" style="1" customWidth="1"/>
    <col min="2" max="2" width="4.7109375" style="1" customWidth="1"/>
    <col min="3" max="3" width="8.140625" style="1" bestFit="1" customWidth="1"/>
    <col min="4" max="4" width="7" style="1" customWidth="1"/>
    <col min="5" max="5" width="7.85546875" style="1" customWidth="1"/>
    <col min="6" max="6" width="7" style="1" customWidth="1"/>
    <col min="7" max="7" width="8.42578125" style="1" customWidth="1"/>
    <col min="8" max="8" width="8.85546875" style="1" bestFit="1" customWidth="1"/>
    <col min="9" max="9" width="7.140625" style="1" customWidth="1"/>
    <col min="10" max="10" width="8.5703125" style="1" customWidth="1"/>
    <col min="11" max="11" width="8.28515625" style="1" customWidth="1"/>
    <col min="12" max="12" width="7.140625" style="1" customWidth="1"/>
    <col min="13" max="13" width="8.85546875" style="1" customWidth="1"/>
    <col min="14" max="14" width="8.42578125" style="1" customWidth="1"/>
    <col min="15" max="15" width="11.42578125" style="1" bestFit="1" customWidth="1"/>
    <col min="16" max="16" width="9.140625" style="1"/>
    <col min="17" max="17" width="11.42578125" style="1" bestFit="1" customWidth="1"/>
    <col min="18" max="18" width="9.140625" style="1"/>
    <col min="19" max="19" width="11.28515625" style="1" customWidth="1"/>
    <col min="20" max="16384" width="9.140625" style="1"/>
  </cols>
  <sheetData>
    <row r="2" spans="2:20" ht="15.75" x14ac:dyDescent="0.25">
      <c r="B2" s="2" t="s">
        <v>40</v>
      </c>
      <c r="C2" s="54"/>
    </row>
    <row r="3" spans="2:20" ht="15.75" x14ac:dyDescent="0.25">
      <c r="B3" s="2" t="s">
        <v>41</v>
      </c>
      <c r="C3" s="54"/>
    </row>
    <row r="4" spans="2:20" ht="15.75" x14ac:dyDescent="0.25">
      <c r="B4" s="4" t="s">
        <v>39</v>
      </c>
    </row>
    <row r="5" spans="2:20" x14ac:dyDescent="0.25">
      <c r="B5" s="5" t="s">
        <v>80</v>
      </c>
    </row>
    <row r="6" spans="2:20" x14ac:dyDescent="0.25">
      <c r="B6" s="6" t="s">
        <v>1</v>
      </c>
    </row>
    <row r="7" spans="2:20" x14ac:dyDescent="0.25">
      <c r="B7" s="6" t="s">
        <v>2</v>
      </c>
    </row>
    <row r="8" spans="2:20" x14ac:dyDescent="0.25">
      <c r="B8" s="7" t="s">
        <v>252</v>
      </c>
    </row>
    <row r="9" spans="2:20" ht="8.25" customHeight="1" thickBot="1" x14ac:dyDescent="0.3">
      <c r="B9" s="18"/>
      <c r="C9" s="18"/>
      <c r="D9" s="18"/>
      <c r="E9" s="19"/>
      <c r="F9" s="29"/>
      <c r="G9" s="18"/>
      <c r="H9" s="29"/>
      <c r="I9" s="18"/>
      <c r="J9" s="29"/>
      <c r="K9" s="18"/>
      <c r="L9" s="29"/>
      <c r="M9" s="18"/>
      <c r="N9" s="30"/>
      <c r="O9" s="20"/>
      <c r="P9" s="29"/>
      <c r="Q9" s="18"/>
      <c r="R9" s="29"/>
      <c r="S9" s="18"/>
      <c r="T9" s="29"/>
    </row>
    <row r="10" spans="2:20" ht="15.75" thickBot="1" x14ac:dyDescent="0.3">
      <c r="B10" s="251" t="s">
        <v>31</v>
      </c>
      <c r="C10" s="252"/>
      <c r="D10" s="255" t="s">
        <v>29</v>
      </c>
      <c r="E10" s="257" t="s">
        <v>176</v>
      </c>
      <c r="F10" s="257"/>
      <c r="G10" s="257"/>
      <c r="H10" s="257" t="s">
        <v>175</v>
      </c>
      <c r="I10" s="257"/>
      <c r="J10" s="257"/>
      <c r="K10" s="257" t="s">
        <v>132</v>
      </c>
      <c r="L10" s="257"/>
      <c r="M10" s="257"/>
      <c r="N10" s="30"/>
      <c r="O10" s="20"/>
      <c r="P10" s="29"/>
      <c r="Q10" s="18"/>
      <c r="R10" s="29"/>
      <c r="S10" s="18"/>
      <c r="T10" s="29"/>
    </row>
    <row r="11" spans="2:20" ht="28.5" customHeight="1" thickBot="1" x14ac:dyDescent="0.3">
      <c r="B11" s="253"/>
      <c r="C11" s="254"/>
      <c r="D11" s="255"/>
      <c r="E11" s="258" t="s">
        <v>446</v>
      </c>
      <c r="F11" s="258"/>
      <c r="G11" s="258"/>
      <c r="H11" s="258" t="s">
        <v>168</v>
      </c>
      <c r="I11" s="258"/>
      <c r="J11" s="258"/>
      <c r="K11" s="303" t="s">
        <v>169</v>
      </c>
      <c r="L11" s="303"/>
      <c r="M11" s="303"/>
      <c r="N11" s="30"/>
      <c r="O11" s="20"/>
      <c r="P11" s="29"/>
      <c r="Q11" s="18"/>
      <c r="R11" s="29"/>
      <c r="S11" s="18"/>
      <c r="T11" s="29"/>
    </row>
    <row r="12" spans="2:20" ht="23.25" customHeight="1" x14ac:dyDescent="0.25">
      <c r="B12" s="31" t="s">
        <v>25</v>
      </c>
      <c r="C12" s="31" t="s">
        <v>26</v>
      </c>
      <c r="D12" s="256"/>
      <c r="E12" s="32" t="s">
        <v>32</v>
      </c>
      <c r="F12" s="33" t="s">
        <v>33</v>
      </c>
      <c r="G12" s="32" t="s">
        <v>34</v>
      </c>
      <c r="H12" s="32" t="s">
        <v>32</v>
      </c>
      <c r="I12" s="33" t="s">
        <v>33</v>
      </c>
      <c r="J12" s="32" t="s">
        <v>34</v>
      </c>
      <c r="K12" s="32" t="s">
        <v>32</v>
      </c>
      <c r="L12" s="33" t="s">
        <v>33</v>
      </c>
      <c r="M12" s="32" t="s">
        <v>34</v>
      </c>
      <c r="N12" s="30"/>
      <c r="O12" s="20"/>
      <c r="P12" s="29"/>
      <c r="Q12" s="18"/>
      <c r="R12" s="29"/>
      <c r="S12" s="18"/>
      <c r="T12" s="29"/>
    </row>
    <row r="13" spans="2:20" ht="15.75" thickBot="1" x14ac:dyDescent="0.3">
      <c r="B13" s="34"/>
      <c r="C13" s="35" t="s">
        <v>22</v>
      </c>
      <c r="D13" s="36" t="s">
        <v>14</v>
      </c>
      <c r="E13" s="35" t="s">
        <v>63</v>
      </c>
      <c r="F13" s="92" t="s">
        <v>63</v>
      </c>
      <c r="G13" s="35" t="s">
        <v>36</v>
      </c>
      <c r="H13" s="35" t="s">
        <v>63</v>
      </c>
      <c r="I13" s="92" t="s">
        <v>63</v>
      </c>
      <c r="J13" s="35" t="s">
        <v>36</v>
      </c>
      <c r="K13" s="35" t="s">
        <v>14</v>
      </c>
      <c r="L13" s="92" t="s">
        <v>14</v>
      </c>
      <c r="M13" s="35" t="s">
        <v>35</v>
      </c>
      <c r="N13" s="30"/>
      <c r="O13" s="20"/>
      <c r="P13" s="29"/>
      <c r="Q13" s="18"/>
      <c r="R13" s="29"/>
      <c r="S13" s="18"/>
      <c r="T13" s="29"/>
    </row>
    <row r="14" spans="2:20" x14ac:dyDescent="0.25">
      <c r="B14" s="37" t="s">
        <v>30</v>
      </c>
      <c r="C14" s="38"/>
      <c r="D14" s="38"/>
      <c r="E14" s="38"/>
      <c r="F14" s="38"/>
      <c r="G14" s="38"/>
      <c r="H14" s="38"/>
      <c r="I14" s="38"/>
      <c r="J14" s="38"/>
      <c r="K14" s="39"/>
      <c r="L14" s="39"/>
      <c r="M14" s="40"/>
    </row>
    <row r="15" spans="2:20" ht="6.75" customHeight="1" x14ac:dyDescent="0.25">
      <c r="B15" s="259" t="s">
        <v>65</v>
      </c>
      <c r="C15" s="247">
        <v>0.18264</v>
      </c>
      <c r="D15" s="47"/>
      <c r="E15" s="245">
        <v>1.5</v>
      </c>
      <c r="F15" s="69"/>
      <c r="G15" s="69"/>
      <c r="H15" s="245">
        <v>1.7</v>
      </c>
      <c r="I15" s="70"/>
      <c r="J15" s="70"/>
      <c r="K15" s="250">
        <v>0</v>
      </c>
      <c r="L15" s="70"/>
      <c r="M15" s="73"/>
    </row>
    <row r="16" spans="2:20" ht="17.25" customHeight="1" x14ac:dyDescent="0.25">
      <c r="B16" s="259"/>
      <c r="C16" s="247"/>
      <c r="D16" s="248">
        <f>(C15-C17)*1000</f>
        <v>5.0099999999999865</v>
      </c>
      <c r="E16" s="245"/>
      <c r="F16" s="243">
        <f>(E15+E17)/2</f>
        <v>1.5</v>
      </c>
      <c r="G16" s="245">
        <f>D16*F16</f>
        <v>7.5149999999999793</v>
      </c>
      <c r="H16" s="245"/>
      <c r="I16" s="243">
        <f>(H15+H17)/2</f>
        <v>1.7</v>
      </c>
      <c r="J16" s="245">
        <f>D16*I16</f>
        <v>8.5169999999999764</v>
      </c>
      <c r="K16" s="250"/>
      <c r="L16" s="243">
        <f>(K15+K17)/2</f>
        <v>0</v>
      </c>
      <c r="M16" s="241">
        <f>L16*D16</f>
        <v>0</v>
      </c>
    </row>
    <row r="17" spans="2:13" ht="12.75" customHeight="1" x14ac:dyDescent="0.25">
      <c r="B17" s="246" t="s">
        <v>21</v>
      </c>
      <c r="C17" s="247">
        <v>0.17763000000000001</v>
      </c>
      <c r="D17" s="248"/>
      <c r="E17" s="245">
        <v>1.5</v>
      </c>
      <c r="F17" s="244"/>
      <c r="G17" s="245"/>
      <c r="H17" s="245">
        <v>1.7</v>
      </c>
      <c r="I17" s="244"/>
      <c r="J17" s="245"/>
      <c r="K17" s="245">
        <v>0</v>
      </c>
      <c r="L17" s="244"/>
      <c r="M17" s="242"/>
    </row>
    <row r="18" spans="2:13" ht="12.75" customHeight="1" x14ac:dyDescent="0.25">
      <c r="B18" s="246"/>
      <c r="C18" s="247"/>
      <c r="D18" s="248">
        <f>(C17-C19)*1000</f>
        <v>12.810000000000016</v>
      </c>
      <c r="E18" s="245"/>
      <c r="F18" s="243">
        <f>(E17+E19)/2</f>
        <v>1.2749999999999999</v>
      </c>
      <c r="G18" s="245">
        <f t="shared" ref="G18:G34" si="0">D18*F18</f>
        <v>16.332750000000019</v>
      </c>
      <c r="H18" s="245"/>
      <c r="I18" s="243">
        <f>(H17+H19)/2</f>
        <v>1.5499999999999998</v>
      </c>
      <c r="J18" s="245">
        <f>D18*I18</f>
        <v>19.855500000000024</v>
      </c>
      <c r="K18" s="245">
        <f t="shared" ref="K18:K34" si="1">0.6+0.6</f>
        <v>1.2</v>
      </c>
      <c r="L18" s="243">
        <f t="shared" ref="L18:L34" si="2">(K17+K19)/2</f>
        <v>0</v>
      </c>
      <c r="M18" s="241">
        <f>L18*D18</f>
        <v>0</v>
      </c>
    </row>
    <row r="19" spans="2:13" ht="12.75" customHeight="1" x14ac:dyDescent="0.25">
      <c r="B19" s="246" t="s">
        <v>20</v>
      </c>
      <c r="C19" s="247">
        <v>0.16481999999999999</v>
      </c>
      <c r="D19" s="248"/>
      <c r="E19" s="245">
        <v>1.05</v>
      </c>
      <c r="F19" s="244"/>
      <c r="G19" s="245"/>
      <c r="H19" s="245">
        <v>1.4</v>
      </c>
      <c r="I19" s="244"/>
      <c r="J19" s="245"/>
      <c r="K19" s="245">
        <v>0</v>
      </c>
      <c r="L19" s="244"/>
      <c r="M19" s="242"/>
    </row>
    <row r="20" spans="2:13" ht="12.75" customHeight="1" x14ac:dyDescent="0.25">
      <c r="B20" s="246"/>
      <c r="C20" s="247"/>
      <c r="D20" s="248">
        <f>(C19-C21)*1000</f>
        <v>6.6199999999999868</v>
      </c>
      <c r="E20" s="245"/>
      <c r="F20" s="243">
        <f t="shared" ref="F20:F36" si="3">(E19+E21)/2</f>
        <v>1.095</v>
      </c>
      <c r="G20" s="245">
        <f t="shared" ref="G20:G36" si="4">D20*F20</f>
        <v>7.2488999999999857</v>
      </c>
      <c r="H20" s="245"/>
      <c r="I20" s="243">
        <f>(H19+H21)/2</f>
        <v>1.2</v>
      </c>
      <c r="J20" s="245">
        <f t="shared" ref="J20:J36" si="5">D20*I20</f>
        <v>7.943999999999984</v>
      </c>
      <c r="K20" s="245">
        <f t="shared" ref="K20:K36" si="6">0.6+0.6</f>
        <v>1.2</v>
      </c>
      <c r="L20" s="243">
        <f t="shared" ref="L20:L36" si="7">(K19+K21)/2</f>
        <v>0</v>
      </c>
      <c r="M20" s="241">
        <f t="shared" ref="M20:M36" si="8">L20*D20</f>
        <v>0</v>
      </c>
    </row>
    <row r="21" spans="2:13" ht="12.75" customHeight="1" x14ac:dyDescent="0.25">
      <c r="B21" s="246" t="s">
        <v>19</v>
      </c>
      <c r="C21" s="247">
        <v>0.15820000000000001</v>
      </c>
      <c r="D21" s="248"/>
      <c r="E21" s="245">
        <v>1.1399999999999999</v>
      </c>
      <c r="F21" s="244"/>
      <c r="G21" s="245"/>
      <c r="H21" s="245">
        <v>1</v>
      </c>
      <c r="I21" s="244"/>
      <c r="J21" s="245"/>
      <c r="K21" s="245">
        <v>0</v>
      </c>
      <c r="L21" s="244"/>
      <c r="M21" s="242"/>
    </row>
    <row r="22" spans="2:13" ht="15" customHeight="1" x14ac:dyDescent="0.25">
      <c r="B22" s="246"/>
      <c r="C22" s="247"/>
      <c r="D22" s="248">
        <f>(C21-C23)*1000</f>
        <v>19.990000000000009</v>
      </c>
      <c r="E22" s="245"/>
      <c r="F22" s="243">
        <f>(E21+E23)/2</f>
        <v>1.52</v>
      </c>
      <c r="G22" s="245">
        <f t="shared" ref="G22" si="9">D22*F22</f>
        <v>30.384800000000013</v>
      </c>
      <c r="H22" s="245"/>
      <c r="I22" s="243">
        <f>(H21+H23)/2</f>
        <v>1.45</v>
      </c>
      <c r="J22" s="245">
        <f t="shared" ref="J22" si="10">D22*I22</f>
        <v>28.985500000000012</v>
      </c>
      <c r="K22" s="245">
        <f t="shared" ref="K22:K38" si="11">0.6+0.6</f>
        <v>1.2</v>
      </c>
      <c r="L22" s="243">
        <f t="shared" si="7"/>
        <v>0</v>
      </c>
      <c r="M22" s="241">
        <f t="shared" ref="M22" si="12">L22*D22</f>
        <v>0</v>
      </c>
    </row>
    <row r="23" spans="2:13" ht="12.75" customHeight="1" x14ac:dyDescent="0.25">
      <c r="B23" s="246" t="s">
        <v>76</v>
      </c>
      <c r="C23" s="247">
        <v>0.13821</v>
      </c>
      <c r="D23" s="248"/>
      <c r="E23" s="245">
        <v>1.9</v>
      </c>
      <c r="F23" s="244"/>
      <c r="G23" s="245"/>
      <c r="H23" s="245">
        <v>1.9</v>
      </c>
      <c r="I23" s="244"/>
      <c r="J23" s="245"/>
      <c r="K23" s="245">
        <v>0</v>
      </c>
      <c r="L23" s="244"/>
      <c r="M23" s="242"/>
    </row>
    <row r="24" spans="2:13" ht="12.75" customHeight="1" x14ac:dyDescent="0.25">
      <c r="B24" s="246"/>
      <c r="C24" s="247"/>
      <c r="D24" s="248">
        <f>(C23-C25)*1000</f>
        <v>24.929999999999993</v>
      </c>
      <c r="E24" s="245"/>
      <c r="F24" s="243">
        <f t="shared" ref="F24" si="13">(E23+E25)/2</f>
        <v>1.325</v>
      </c>
      <c r="G24" s="245">
        <f t="shared" ref="G24" si="14">D24*F24</f>
        <v>33.032249999999991</v>
      </c>
      <c r="H24" s="245"/>
      <c r="I24" s="243">
        <f t="shared" ref="I24" si="15">(H23+H25)/2</f>
        <v>1.25</v>
      </c>
      <c r="J24" s="245">
        <f t="shared" ref="J24" si="16">D24*I24</f>
        <v>31.162499999999991</v>
      </c>
      <c r="K24" s="245">
        <f t="shared" ref="K24" si="17">0.6+0.6</f>
        <v>1.2</v>
      </c>
      <c r="L24" s="243">
        <f t="shared" ref="L24" si="18">(K23+K25)/2</f>
        <v>0</v>
      </c>
      <c r="M24" s="241">
        <f t="shared" ref="M24" si="19">L24*D24</f>
        <v>0</v>
      </c>
    </row>
    <row r="25" spans="2:13" ht="12.75" customHeight="1" x14ac:dyDescent="0.25">
      <c r="B25" s="246" t="s">
        <v>18</v>
      </c>
      <c r="C25" s="247">
        <v>0.11328000000000001</v>
      </c>
      <c r="D25" s="248"/>
      <c r="E25" s="245">
        <v>0.75</v>
      </c>
      <c r="F25" s="244"/>
      <c r="G25" s="245"/>
      <c r="H25" s="245">
        <v>0.6</v>
      </c>
      <c r="I25" s="244"/>
      <c r="J25" s="245"/>
      <c r="K25" s="245">
        <v>0</v>
      </c>
      <c r="L25" s="244"/>
      <c r="M25" s="242"/>
    </row>
    <row r="26" spans="2:13" ht="12.75" customHeight="1" x14ac:dyDescent="0.25">
      <c r="B26" s="246"/>
      <c r="C26" s="247"/>
      <c r="D26" s="248">
        <f>(C25-C27)*1000</f>
        <v>7.2500000000000062</v>
      </c>
      <c r="E26" s="245"/>
      <c r="F26" s="243">
        <f t="shared" ref="F26" si="20">(E25+E27)/2</f>
        <v>0.75</v>
      </c>
      <c r="G26" s="245">
        <f t="shared" ref="G26" si="21">D26*F26</f>
        <v>5.4375000000000044</v>
      </c>
      <c r="H26" s="245"/>
      <c r="I26" s="243">
        <f t="shared" ref="I26" si="22">(H25+H27)/2</f>
        <v>0.6</v>
      </c>
      <c r="J26" s="245">
        <f t="shared" ref="J26" si="23">D26*I26</f>
        <v>4.3500000000000032</v>
      </c>
      <c r="K26" s="245">
        <f t="shared" ref="K26" si="24">0.6+0.6</f>
        <v>1.2</v>
      </c>
      <c r="L26" s="243">
        <f t="shared" ref="L26" si="25">(K25+K27)/2</f>
        <v>0</v>
      </c>
      <c r="M26" s="241">
        <f t="shared" ref="M26" si="26">L26*D26</f>
        <v>0</v>
      </c>
    </row>
    <row r="27" spans="2:13" ht="12.75" customHeight="1" x14ac:dyDescent="0.25">
      <c r="B27" s="246" t="s">
        <v>17</v>
      </c>
      <c r="C27" s="247">
        <v>0.10603</v>
      </c>
      <c r="D27" s="248"/>
      <c r="E27" s="245">
        <v>0.75</v>
      </c>
      <c r="F27" s="244"/>
      <c r="G27" s="245"/>
      <c r="H27" s="245">
        <v>0.6</v>
      </c>
      <c r="I27" s="244"/>
      <c r="J27" s="245"/>
      <c r="K27" s="245">
        <v>0</v>
      </c>
      <c r="L27" s="244"/>
      <c r="M27" s="242"/>
    </row>
    <row r="28" spans="2:13" ht="12.75" customHeight="1" x14ac:dyDescent="0.25">
      <c r="B28" s="260"/>
      <c r="C28" s="261"/>
      <c r="D28" s="248">
        <f>(C27-C29)*1000</f>
        <v>11.029999999999998</v>
      </c>
      <c r="E28" s="262"/>
      <c r="F28" s="243">
        <f t="shared" ref="F28:F30" si="27">(E27+E29)/2</f>
        <v>0.75</v>
      </c>
      <c r="G28" s="245">
        <f t="shared" ref="G28:G30" si="28">D28*F28</f>
        <v>8.2724999999999973</v>
      </c>
      <c r="H28" s="245"/>
      <c r="I28" s="243">
        <f t="shared" ref="I28:I30" si="29">(H27+H29)/2</f>
        <v>0.6</v>
      </c>
      <c r="J28" s="245">
        <f t="shared" ref="J28:J30" si="30">D28*I28</f>
        <v>6.6179999999999986</v>
      </c>
      <c r="K28" s="245">
        <f t="shared" ref="K28" si="31">0.6+0.6</f>
        <v>1.2</v>
      </c>
      <c r="L28" s="243">
        <f t="shared" ref="L28:L30" si="32">(K27+K29)/2</f>
        <v>0</v>
      </c>
      <c r="M28" s="241">
        <f t="shared" ref="M28:M30" si="33">L28*D28</f>
        <v>0</v>
      </c>
    </row>
    <row r="29" spans="2:13" ht="15" customHeight="1" x14ac:dyDescent="0.25">
      <c r="B29" s="246" t="s">
        <v>16</v>
      </c>
      <c r="C29" s="247">
        <v>9.5000000000000001E-2</v>
      </c>
      <c r="D29" s="248"/>
      <c r="E29" s="245">
        <v>0.75</v>
      </c>
      <c r="F29" s="244"/>
      <c r="G29" s="245"/>
      <c r="H29" s="245">
        <v>0.6</v>
      </c>
      <c r="I29" s="244"/>
      <c r="J29" s="245"/>
      <c r="K29" s="245">
        <v>0</v>
      </c>
      <c r="L29" s="244"/>
      <c r="M29" s="242"/>
    </row>
    <row r="30" spans="2:13" ht="15" customHeight="1" x14ac:dyDescent="0.25">
      <c r="B30" s="260"/>
      <c r="C30" s="247"/>
      <c r="D30" s="248">
        <f>(C29-C31)*1000</f>
        <v>12.6</v>
      </c>
      <c r="E30" s="245"/>
      <c r="F30" s="243">
        <f t="shared" si="27"/>
        <v>0.375</v>
      </c>
      <c r="G30" s="245">
        <f t="shared" si="28"/>
        <v>4.7249999999999996</v>
      </c>
      <c r="H30" s="245"/>
      <c r="I30" s="243">
        <f t="shared" si="29"/>
        <v>0.3</v>
      </c>
      <c r="J30" s="245">
        <f t="shared" si="30"/>
        <v>3.78</v>
      </c>
      <c r="K30" s="245">
        <f t="shared" ref="K30" si="34">0.6+0.6</f>
        <v>1.2</v>
      </c>
      <c r="L30" s="243">
        <f t="shared" si="32"/>
        <v>0</v>
      </c>
      <c r="M30" s="241">
        <f t="shared" si="33"/>
        <v>0</v>
      </c>
    </row>
    <row r="31" spans="2:13" ht="12.75" customHeight="1" x14ac:dyDescent="0.25">
      <c r="B31" s="246" t="s">
        <v>15</v>
      </c>
      <c r="C31" s="247">
        <v>8.2400000000000001E-2</v>
      </c>
      <c r="D31" s="248"/>
      <c r="E31" s="245">
        <v>0</v>
      </c>
      <c r="F31" s="244"/>
      <c r="G31" s="245"/>
      <c r="H31" s="245">
        <v>0</v>
      </c>
      <c r="I31" s="244"/>
      <c r="J31" s="245"/>
      <c r="K31" s="250">
        <v>0</v>
      </c>
      <c r="L31" s="244"/>
      <c r="M31" s="242"/>
    </row>
    <row r="32" spans="2:13" ht="12.75" customHeight="1" x14ac:dyDescent="0.25">
      <c r="B32" s="260"/>
      <c r="C32" s="247"/>
      <c r="D32" s="248">
        <f>(C31-C33)*1000</f>
        <v>36.250000000000007</v>
      </c>
      <c r="E32" s="245"/>
      <c r="F32" s="243">
        <f>(E31+E33)/2</f>
        <v>1.17</v>
      </c>
      <c r="G32" s="245">
        <f>D32*F32</f>
        <v>42.412500000000009</v>
      </c>
      <c r="H32" s="245"/>
      <c r="I32" s="243">
        <f>(H31+H33)/2</f>
        <v>0</v>
      </c>
      <c r="J32" s="245">
        <f>D32*I32</f>
        <v>0</v>
      </c>
      <c r="K32" s="250"/>
      <c r="L32" s="243">
        <f>(K31+K33)/2</f>
        <v>0</v>
      </c>
      <c r="M32" s="241">
        <f>L32*D32</f>
        <v>0</v>
      </c>
    </row>
    <row r="33" spans="2:13" ht="12.75" customHeight="1" x14ac:dyDescent="0.25">
      <c r="B33" s="249" t="s">
        <v>77</v>
      </c>
      <c r="C33" s="247">
        <v>4.6149999999999997E-2</v>
      </c>
      <c r="D33" s="248"/>
      <c r="E33" s="245">
        <v>2.34</v>
      </c>
      <c r="F33" s="244"/>
      <c r="G33" s="245"/>
      <c r="H33" s="245">
        <v>0</v>
      </c>
      <c r="I33" s="244"/>
      <c r="J33" s="245"/>
      <c r="K33" s="245">
        <v>0</v>
      </c>
      <c r="L33" s="244"/>
      <c r="M33" s="242"/>
    </row>
    <row r="34" spans="2:13" ht="12.75" customHeight="1" x14ac:dyDescent="0.25">
      <c r="B34" s="265"/>
      <c r="C34" s="247"/>
      <c r="D34" s="248">
        <f>(C33-C35)*1000</f>
        <v>11.08</v>
      </c>
      <c r="E34" s="245"/>
      <c r="F34" s="243">
        <f>(E33+E35)/2</f>
        <v>2.34</v>
      </c>
      <c r="G34" s="245">
        <f t="shared" si="0"/>
        <v>25.927199999999999</v>
      </c>
      <c r="H34" s="245"/>
      <c r="I34" s="243">
        <f>(H33+H35)/2</f>
        <v>0</v>
      </c>
      <c r="J34" s="245">
        <f>D34*I34</f>
        <v>0</v>
      </c>
      <c r="K34" s="245">
        <f t="shared" si="1"/>
        <v>1.2</v>
      </c>
      <c r="L34" s="243">
        <f t="shared" si="2"/>
        <v>0</v>
      </c>
      <c r="M34" s="241">
        <f>L34*D34</f>
        <v>0</v>
      </c>
    </row>
    <row r="35" spans="2:13" ht="12.75" customHeight="1" x14ac:dyDescent="0.25">
      <c r="B35" s="249" t="s">
        <v>78</v>
      </c>
      <c r="C35" s="247">
        <v>3.5069999999999997E-2</v>
      </c>
      <c r="D35" s="248"/>
      <c r="E35" s="245">
        <v>2.34</v>
      </c>
      <c r="F35" s="244"/>
      <c r="G35" s="245"/>
      <c r="H35" s="245">
        <v>0</v>
      </c>
      <c r="I35" s="244"/>
      <c r="J35" s="245"/>
      <c r="K35" s="245">
        <v>0</v>
      </c>
      <c r="L35" s="244"/>
      <c r="M35" s="242"/>
    </row>
    <row r="36" spans="2:13" ht="15" customHeight="1" x14ac:dyDescent="0.25">
      <c r="B36" s="249"/>
      <c r="C36" s="247"/>
      <c r="D36" s="248">
        <f>(C35-C37)*1000</f>
        <v>35.07</v>
      </c>
      <c r="E36" s="245"/>
      <c r="F36" s="243">
        <f t="shared" si="3"/>
        <v>1.17</v>
      </c>
      <c r="G36" s="245">
        <f t="shared" si="4"/>
        <v>41.0319</v>
      </c>
      <c r="H36" s="245"/>
      <c r="I36" s="243">
        <f>(H35+H37)/2</f>
        <v>0</v>
      </c>
      <c r="J36" s="245">
        <f t="shared" si="5"/>
        <v>0</v>
      </c>
      <c r="K36" s="245">
        <f t="shared" si="6"/>
        <v>1.2</v>
      </c>
      <c r="L36" s="243">
        <f t="shared" si="7"/>
        <v>0</v>
      </c>
      <c r="M36" s="241">
        <f t="shared" si="8"/>
        <v>0</v>
      </c>
    </row>
    <row r="37" spans="2:13" ht="12.75" customHeight="1" x14ac:dyDescent="0.25">
      <c r="B37" s="249" t="s">
        <v>79</v>
      </c>
      <c r="C37" s="247">
        <v>0</v>
      </c>
      <c r="D37" s="248"/>
      <c r="E37" s="245">
        <v>0</v>
      </c>
      <c r="F37" s="244"/>
      <c r="G37" s="245"/>
      <c r="H37" s="245">
        <v>0</v>
      </c>
      <c r="I37" s="244"/>
      <c r="J37" s="245"/>
      <c r="K37" s="245">
        <v>0</v>
      </c>
      <c r="L37" s="244"/>
      <c r="M37" s="242"/>
    </row>
    <row r="38" spans="2:13" ht="12.75" customHeight="1" thickBot="1" x14ac:dyDescent="0.3">
      <c r="B38" s="249"/>
      <c r="C38" s="247"/>
      <c r="D38" s="88"/>
      <c r="E38" s="245"/>
      <c r="F38" s="89"/>
      <c r="G38" s="90"/>
      <c r="H38" s="245"/>
      <c r="I38" s="89"/>
      <c r="J38" s="90"/>
      <c r="K38" s="245">
        <f t="shared" si="11"/>
        <v>1.2</v>
      </c>
      <c r="L38" s="89"/>
      <c r="M38" s="91"/>
    </row>
    <row r="39" spans="2:13" ht="12.75" customHeight="1" x14ac:dyDescent="0.25">
      <c r="B39" s="41"/>
      <c r="C39" s="42"/>
      <c r="D39" s="42"/>
      <c r="E39" s="42"/>
      <c r="F39" s="42"/>
      <c r="G39" s="263">
        <f>SUM(G15:G38)</f>
        <v>222.3203</v>
      </c>
      <c r="H39" s="43"/>
      <c r="I39" s="43"/>
      <c r="J39" s="263">
        <f>SUM(J15:J38)</f>
        <v>111.21249999999999</v>
      </c>
      <c r="K39" s="43"/>
      <c r="L39" s="43"/>
      <c r="M39" s="263">
        <f>SUM(M15:M38)</f>
        <v>0</v>
      </c>
    </row>
    <row r="40" spans="2:13" ht="12.75" customHeight="1" thickBot="1" x14ac:dyDescent="0.3">
      <c r="B40" s="44"/>
      <c r="C40" s="45"/>
      <c r="D40" s="45"/>
      <c r="E40" s="45"/>
      <c r="F40" s="45"/>
      <c r="G40" s="264"/>
      <c r="H40" s="46"/>
      <c r="I40" s="46"/>
      <c r="J40" s="264"/>
      <c r="K40" s="46"/>
      <c r="L40" s="46"/>
      <c r="M40" s="264"/>
    </row>
    <row r="42" spans="2:13" x14ac:dyDescent="0.25">
      <c r="C42" s="1" t="s">
        <v>83</v>
      </c>
      <c r="D42" s="75">
        <f>SUM(D16:D41)</f>
        <v>182.64</v>
      </c>
      <c r="E42" s="1" t="s">
        <v>14</v>
      </c>
    </row>
  </sheetData>
  <mergeCells count="148">
    <mergeCell ref="B10:C11"/>
    <mergeCell ref="D10:D12"/>
    <mergeCell ref="E10:G10"/>
    <mergeCell ref="H10:J10"/>
    <mergeCell ref="K10:M10"/>
    <mergeCell ref="E11:G11"/>
    <mergeCell ref="H11:J11"/>
    <mergeCell ref="K11:M11"/>
    <mergeCell ref="L16:L17"/>
    <mergeCell ref="M16:M17"/>
    <mergeCell ref="B17:B18"/>
    <mergeCell ref="C17:C18"/>
    <mergeCell ref="E17:E18"/>
    <mergeCell ref="H17:H18"/>
    <mergeCell ref="K17:K18"/>
    <mergeCell ref="D18:D19"/>
    <mergeCell ref="F18:F19"/>
    <mergeCell ref="G18:G19"/>
    <mergeCell ref="B15:B16"/>
    <mergeCell ref="C15:C16"/>
    <mergeCell ref="E15:E16"/>
    <mergeCell ref="H15:H16"/>
    <mergeCell ref="K15:K16"/>
    <mergeCell ref="D16:D17"/>
    <mergeCell ref="F16:F17"/>
    <mergeCell ref="G16:G17"/>
    <mergeCell ref="I16:I17"/>
    <mergeCell ref="J16:J17"/>
    <mergeCell ref="L20:L21"/>
    <mergeCell ref="M20:M21"/>
    <mergeCell ref="I18:I19"/>
    <mergeCell ref="J18:J19"/>
    <mergeCell ref="L18:L19"/>
    <mergeCell ref="M18:M19"/>
    <mergeCell ref="B19:B20"/>
    <mergeCell ref="C19:C20"/>
    <mergeCell ref="E19:E20"/>
    <mergeCell ref="H19:H20"/>
    <mergeCell ref="K19:K20"/>
    <mergeCell ref="D20:D21"/>
    <mergeCell ref="L22:L23"/>
    <mergeCell ref="M22:M23"/>
    <mergeCell ref="B23:B24"/>
    <mergeCell ref="C23:C24"/>
    <mergeCell ref="E23:E24"/>
    <mergeCell ref="H23:H24"/>
    <mergeCell ref="K23:K24"/>
    <mergeCell ref="D24:D25"/>
    <mergeCell ref="F24:F25"/>
    <mergeCell ref="G24:G25"/>
    <mergeCell ref="B21:B22"/>
    <mergeCell ref="C21:C22"/>
    <mergeCell ref="E21:E22"/>
    <mergeCell ref="H21:H22"/>
    <mergeCell ref="K21:K22"/>
    <mergeCell ref="D22:D23"/>
    <mergeCell ref="F22:F23"/>
    <mergeCell ref="G22:G23"/>
    <mergeCell ref="I22:I23"/>
    <mergeCell ref="J22:J23"/>
    <mergeCell ref="F20:F21"/>
    <mergeCell ref="G20:G21"/>
    <mergeCell ref="I20:I21"/>
    <mergeCell ref="J20:J21"/>
    <mergeCell ref="L26:L27"/>
    <mergeCell ref="M26:M27"/>
    <mergeCell ref="I24:I25"/>
    <mergeCell ref="J24:J25"/>
    <mergeCell ref="L24:L25"/>
    <mergeCell ref="M24:M25"/>
    <mergeCell ref="B25:B26"/>
    <mergeCell ref="C25:C26"/>
    <mergeCell ref="E25:E26"/>
    <mergeCell ref="H25:H26"/>
    <mergeCell ref="K25:K26"/>
    <mergeCell ref="D26:D27"/>
    <mergeCell ref="L28:L29"/>
    <mergeCell ref="M28:M29"/>
    <mergeCell ref="B29:B30"/>
    <mergeCell ref="C29:C30"/>
    <mergeCell ref="E29:E30"/>
    <mergeCell ref="H29:H30"/>
    <mergeCell ref="K29:K30"/>
    <mergeCell ref="D30:D31"/>
    <mergeCell ref="F30:F31"/>
    <mergeCell ref="G30:G31"/>
    <mergeCell ref="B27:B28"/>
    <mergeCell ref="C27:C28"/>
    <mergeCell ref="E27:E28"/>
    <mergeCell ref="H27:H28"/>
    <mergeCell ref="K27:K28"/>
    <mergeCell ref="D28:D29"/>
    <mergeCell ref="F28:F29"/>
    <mergeCell ref="G28:G29"/>
    <mergeCell ref="I28:I29"/>
    <mergeCell ref="J28:J29"/>
    <mergeCell ref="F26:F27"/>
    <mergeCell ref="G26:G27"/>
    <mergeCell ref="I26:I27"/>
    <mergeCell ref="J26:J27"/>
    <mergeCell ref="L32:L33"/>
    <mergeCell ref="M32:M33"/>
    <mergeCell ref="I30:I31"/>
    <mergeCell ref="J30:J31"/>
    <mergeCell ref="L30:L31"/>
    <mergeCell ref="M30:M31"/>
    <mergeCell ref="G39:G40"/>
    <mergeCell ref="J39:J40"/>
    <mergeCell ref="M39:M40"/>
    <mergeCell ref="I36:I37"/>
    <mergeCell ref="J36:J37"/>
    <mergeCell ref="L36:L37"/>
    <mergeCell ref="M36:M37"/>
    <mergeCell ref="B31:B32"/>
    <mergeCell ref="C31:C32"/>
    <mergeCell ref="E31:E32"/>
    <mergeCell ref="H31:H32"/>
    <mergeCell ref="K31:K32"/>
    <mergeCell ref="D32:D33"/>
    <mergeCell ref="L34:L35"/>
    <mergeCell ref="M34:M35"/>
    <mergeCell ref="B35:B36"/>
    <mergeCell ref="C35:C36"/>
    <mergeCell ref="E35:E36"/>
    <mergeCell ref="H35:H36"/>
    <mergeCell ref="K35:K36"/>
    <mergeCell ref="D36:D37"/>
    <mergeCell ref="F36:F37"/>
    <mergeCell ref="G36:G37"/>
    <mergeCell ref="B33:B34"/>
    <mergeCell ref="B37:B38"/>
    <mergeCell ref="C37:C38"/>
    <mergeCell ref="E37:E38"/>
    <mergeCell ref="H37:H38"/>
    <mergeCell ref="K37:K38"/>
    <mergeCell ref="I34:I35"/>
    <mergeCell ref="J34:J35"/>
    <mergeCell ref="F32:F33"/>
    <mergeCell ref="G32:G33"/>
    <mergeCell ref="I32:I33"/>
    <mergeCell ref="J32:J33"/>
    <mergeCell ref="C33:C34"/>
    <mergeCell ref="E33:E34"/>
    <mergeCell ref="H33:H34"/>
    <mergeCell ref="K33:K34"/>
    <mergeCell ref="D34:D35"/>
    <mergeCell ref="F34:F35"/>
    <mergeCell ref="G34:G35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Header>&amp;RVýkaz výměr SO 03</oddHeader>
    <oddFooter>&amp;L&amp;9&amp;F&amp;C&amp;A&amp;R&amp;P/&amp;N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42"/>
  <sheetViews>
    <sheetView topLeftCell="A25" zoomScale="115" zoomScaleNormal="115" workbookViewId="0">
      <selection activeCell="H322" sqref="H322"/>
    </sheetView>
  </sheetViews>
  <sheetFormatPr defaultRowHeight="15" x14ac:dyDescent="0.25"/>
  <cols>
    <col min="1" max="1" width="2.7109375" style="1" customWidth="1"/>
    <col min="2" max="2" width="4.7109375" style="1" customWidth="1"/>
    <col min="3" max="3" width="8.140625" style="1" bestFit="1" customWidth="1"/>
    <col min="4" max="4" width="7" style="1" customWidth="1"/>
    <col min="5" max="5" width="7.85546875" style="1" customWidth="1"/>
    <col min="6" max="6" width="7" style="1" customWidth="1"/>
    <col min="7" max="7" width="8.42578125" style="1" customWidth="1"/>
    <col min="8" max="8" width="8.85546875" style="1" bestFit="1" customWidth="1"/>
    <col min="9" max="9" width="7.140625" style="1" customWidth="1"/>
    <col min="10" max="10" width="8.5703125" style="1" customWidth="1"/>
    <col min="11" max="11" width="8.28515625" style="1" customWidth="1"/>
    <col min="12" max="12" width="7.140625" style="1" customWidth="1"/>
    <col min="13" max="13" width="8.85546875" style="1" customWidth="1"/>
    <col min="14" max="14" width="8.42578125" style="1" customWidth="1"/>
    <col min="15" max="15" width="11.42578125" style="1" bestFit="1" customWidth="1"/>
    <col min="16" max="16" width="9.140625" style="1"/>
    <col min="17" max="17" width="11.42578125" style="1" bestFit="1" customWidth="1"/>
    <col min="18" max="18" width="9.140625" style="1"/>
    <col min="19" max="19" width="11.28515625" style="1" customWidth="1"/>
    <col min="20" max="16384" width="9.140625" style="1"/>
  </cols>
  <sheetData>
    <row r="2" spans="2:20" ht="15.75" x14ac:dyDescent="0.25">
      <c r="B2" s="2" t="s">
        <v>40</v>
      </c>
      <c r="C2" s="54"/>
    </row>
    <row r="3" spans="2:20" ht="15.75" x14ac:dyDescent="0.25">
      <c r="B3" s="2" t="s">
        <v>41</v>
      </c>
      <c r="C3" s="54"/>
    </row>
    <row r="4" spans="2:20" ht="15.75" x14ac:dyDescent="0.25">
      <c r="B4" s="4" t="s">
        <v>39</v>
      </c>
    </row>
    <row r="5" spans="2:20" x14ac:dyDescent="0.25">
      <c r="B5" s="5" t="s">
        <v>80</v>
      </c>
    </row>
    <row r="6" spans="2:20" x14ac:dyDescent="0.25">
      <c r="B6" s="6" t="s">
        <v>1</v>
      </c>
    </row>
    <row r="7" spans="2:20" x14ac:dyDescent="0.25">
      <c r="B7" s="6" t="s">
        <v>2</v>
      </c>
    </row>
    <row r="8" spans="2:20" x14ac:dyDescent="0.25">
      <c r="B8" s="7" t="s">
        <v>252</v>
      </c>
    </row>
    <row r="9" spans="2:20" ht="8.25" customHeight="1" thickBot="1" x14ac:dyDescent="0.3">
      <c r="B9" s="18"/>
      <c r="C9" s="18"/>
      <c r="D9" s="18"/>
      <c r="E9" s="19"/>
      <c r="F9" s="29"/>
      <c r="G9" s="18"/>
      <c r="H9" s="29"/>
      <c r="I9" s="18"/>
      <c r="J9" s="29"/>
      <c r="K9" s="18"/>
      <c r="L9" s="29"/>
      <c r="M9" s="18"/>
      <c r="N9" s="30"/>
      <c r="O9" s="20"/>
      <c r="P9" s="29"/>
      <c r="Q9" s="18"/>
      <c r="R9" s="29"/>
      <c r="S9" s="18"/>
      <c r="T9" s="29"/>
    </row>
    <row r="10" spans="2:20" ht="15.75" thickBot="1" x14ac:dyDescent="0.3">
      <c r="B10" s="251" t="s">
        <v>31</v>
      </c>
      <c r="C10" s="252"/>
      <c r="D10" s="255" t="s">
        <v>29</v>
      </c>
      <c r="E10" s="257" t="s">
        <v>198</v>
      </c>
      <c r="F10" s="257"/>
      <c r="G10" s="257"/>
      <c r="H10" s="257" t="s">
        <v>199</v>
      </c>
      <c r="I10" s="257"/>
      <c r="J10" s="257"/>
      <c r="K10" s="257" t="s">
        <v>200</v>
      </c>
      <c r="L10" s="257"/>
      <c r="M10" s="257"/>
      <c r="N10" s="30"/>
      <c r="O10" s="20"/>
      <c r="P10" s="29"/>
      <c r="Q10" s="18"/>
      <c r="R10" s="29"/>
      <c r="S10" s="18"/>
      <c r="T10" s="29"/>
    </row>
    <row r="11" spans="2:20" ht="28.5" customHeight="1" thickBot="1" x14ac:dyDescent="0.3">
      <c r="B11" s="253"/>
      <c r="C11" s="254"/>
      <c r="D11" s="255"/>
      <c r="E11" s="258" t="s">
        <v>196</v>
      </c>
      <c r="F11" s="258"/>
      <c r="G11" s="258"/>
      <c r="H11" s="258" t="s">
        <v>197</v>
      </c>
      <c r="I11" s="258"/>
      <c r="J11" s="258"/>
      <c r="K11" s="304" t="s">
        <v>74</v>
      </c>
      <c r="L11" s="304"/>
      <c r="M11" s="304"/>
      <c r="N11" s="30"/>
      <c r="O11" s="20"/>
      <c r="P11" s="29"/>
      <c r="Q11" s="18"/>
      <c r="R11" s="29"/>
      <c r="S11" s="18"/>
      <c r="T11" s="29"/>
    </row>
    <row r="12" spans="2:20" ht="23.25" customHeight="1" x14ac:dyDescent="0.25">
      <c r="B12" s="31" t="s">
        <v>25</v>
      </c>
      <c r="C12" s="31" t="s">
        <v>26</v>
      </c>
      <c r="D12" s="256"/>
      <c r="E12" s="32" t="s">
        <v>32</v>
      </c>
      <c r="F12" s="33" t="s">
        <v>33</v>
      </c>
      <c r="G12" s="32" t="s">
        <v>34</v>
      </c>
      <c r="H12" s="32" t="s">
        <v>32</v>
      </c>
      <c r="I12" s="33" t="s">
        <v>33</v>
      </c>
      <c r="J12" s="32" t="s">
        <v>34</v>
      </c>
      <c r="K12" s="32" t="s">
        <v>32</v>
      </c>
      <c r="L12" s="33" t="s">
        <v>33</v>
      </c>
      <c r="M12" s="32" t="s">
        <v>34</v>
      </c>
      <c r="N12" s="30"/>
      <c r="O12" s="20"/>
      <c r="P12" s="29"/>
      <c r="Q12" s="18"/>
      <c r="R12" s="29"/>
      <c r="S12" s="18"/>
      <c r="T12" s="29"/>
    </row>
    <row r="13" spans="2:20" ht="15.75" thickBot="1" x14ac:dyDescent="0.3">
      <c r="B13" s="34"/>
      <c r="C13" s="35" t="s">
        <v>22</v>
      </c>
      <c r="D13" s="36" t="s">
        <v>14</v>
      </c>
      <c r="E13" s="35" t="s">
        <v>14</v>
      </c>
      <c r="F13" s="96" t="s">
        <v>14</v>
      </c>
      <c r="G13" s="35" t="s">
        <v>35</v>
      </c>
      <c r="H13" s="35" t="s">
        <v>14</v>
      </c>
      <c r="I13" s="96" t="s">
        <v>14</v>
      </c>
      <c r="J13" s="35" t="s">
        <v>35</v>
      </c>
      <c r="K13" s="35" t="s">
        <v>14</v>
      </c>
      <c r="L13" s="96" t="s">
        <v>14</v>
      </c>
      <c r="M13" s="35" t="s">
        <v>35</v>
      </c>
      <c r="N13" s="30"/>
      <c r="O13" s="20"/>
      <c r="P13" s="29"/>
      <c r="Q13" s="18"/>
      <c r="R13" s="29"/>
      <c r="S13" s="18"/>
      <c r="T13" s="29"/>
    </row>
    <row r="14" spans="2:20" x14ac:dyDescent="0.25">
      <c r="B14" s="37" t="s">
        <v>30</v>
      </c>
      <c r="C14" s="38"/>
      <c r="D14" s="38"/>
      <c r="E14" s="38"/>
      <c r="F14" s="38"/>
      <c r="G14" s="38"/>
      <c r="H14" s="38"/>
      <c r="I14" s="38"/>
      <c r="J14" s="38"/>
      <c r="K14" s="39"/>
      <c r="L14" s="39"/>
      <c r="M14" s="40"/>
    </row>
    <row r="15" spans="2:20" ht="6.75" customHeight="1" x14ac:dyDescent="0.25">
      <c r="B15" s="259" t="s">
        <v>65</v>
      </c>
      <c r="C15" s="247">
        <v>0.18264</v>
      </c>
      <c r="D15" s="47"/>
      <c r="E15" s="245">
        <f>1.6+0.8+4.8+0.3+2</f>
        <v>9.5</v>
      </c>
      <c r="F15" s="69"/>
      <c r="G15" s="69"/>
      <c r="H15" s="245">
        <v>0.5</v>
      </c>
      <c r="I15" s="70"/>
      <c r="J15" s="70"/>
      <c r="K15" s="250">
        <f>2.6+4.8+2</f>
        <v>9.4</v>
      </c>
      <c r="L15" s="70"/>
      <c r="M15" s="73"/>
    </row>
    <row r="16" spans="2:20" ht="17.25" customHeight="1" x14ac:dyDescent="0.25">
      <c r="B16" s="259"/>
      <c r="C16" s="247"/>
      <c r="D16" s="248">
        <f>(C15-C17)*1000</f>
        <v>5.0099999999999865</v>
      </c>
      <c r="E16" s="245"/>
      <c r="F16" s="243">
        <f>(E15+E17)/2</f>
        <v>9.5</v>
      </c>
      <c r="G16" s="245">
        <f>D16*F16</f>
        <v>47.594999999999871</v>
      </c>
      <c r="H16" s="245"/>
      <c r="I16" s="243">
        <f>(H15+H17)/2</f>
        <v>0.5</v>
      </c>
      <c r="J16" s="245">
        <f>D16*I16</f>
        <v>2.5049999999999932</v>
      </c>
      <c r="K16" s="250"/>
      <c r="L16" s="243">
        <f>(K15+K17)/2</f>
        <v>9.4</v>
      </c>
      <c r="M16" s="241">
        <f>L16*D16</f>
        <v>47.093999999999873</v>
      </c>
    </row>
    <row r="17" spans="2:13" ht="12.75" customHeight="1" x14ac:dyDescent="0.25">
      <c r="B17" s="246" t="s">
        <v>21</v>
      </c>
      <c r="C17" s="247">
        <v>0.17763000000000001</v>
      </c>
      <c r="D17" s="248"/>
      <c r="E17" s="245">
        <f>E15</f>
        <v>9.5</v>
      </c>
      <c r="F17" s="244"/>
      <c r="G17" s="245"/>
      <c r="H17" s="245">
        <v>0.5</v>
      </c>
      <c r="I17" s="244"/>
      <c r="J17" s="245"/>
      <c r="K17" s="245">
        <f>K15</f>
        <v>9.4</v>
      </c>
      <c r="L17" s="244"/>
      <c r="M17" s="242"/>
    </row>
    <row r="18" spans="2:13" ht="12.75" customHeight="1" x14ac:dyDescent="0.25">
      <c r="B18" s="246"/>
      <c r="C18" s="247"/>
      <c r="D18" s="248">
        <f>(C17-C19)*1000</f>
        <v>12.810000000000016</v>
      </c>
      <c r="E18" s="245"/>
      <c r="F18" s="243">
        <f>(E17+E19)/2</f>
        <v>9.9499999999999993</v>
      </c>
      <c r="G18" s="245">
        <f t="shared" ref="G18:G34" si="0">D18*F18</f>
        <v>127.45950000000016</v>
      </c>
      <c r="H18" s="245"/>
      <c r="I18" s="243">
        <f>(H17+H19)/2</f>
        <v>0.5</v>
      </c>
      <c r="J18" s="245">
        <f>D18*I18</f>
        <v>6.4050000000000082</v>
      </c>
      <c r="K18" s="245">
        <f t="shared" ref="K18:K34" si="1">0.6+0.6</f>
        <v>1.2</v>
      </c>
      <c r="L18" s="243">
        <f t="shared" ref="L18:L34" si="2">(K17+K19)/2</f>
        <v>9.9499999999999993</v>
      </c>
      <c r="M18" s="241">
        <f>L18*D18</f>
        <v>127.45950000000016</v>
      </c>
    </row>
    <row r="19" spans="2:13" ht="12.75" customHeight="1" x14ac:dyDescent="0.25">
      <c r="B19" s="246" t="s">
        <v>20</v>
      </c>
      <c r="C19" s="247">
        <v>0.16481999999999999</v>
      </c>
      <c r="D19" s="248"/>
      <c r="E19" s="245">
        <f>2.5+0.8+4.8+0.3+2</f>
        <v>10.4</v>
      </c>
      <c r="F19" s="244"/>
      <c r="G19" s="245"/>
      <c r="H19" s="245">
        <v>0.5</v>
      </c>
      <c r="I19" s="244"/>
      <c r="J19" s="245"/>
      <c r="K19" s="245">
        <f>3.7+4.8+2</f>
        <v>10.5</v>
      </c>
      <c r="L19" s="244"/>
      <c r="M19" s="242"/>
    </row>
    <row r="20" spans="2:13" ht="12.75" customHeight="1" x14ac:dyDescent="0.25">
      <c r="B20" s="246"/>
      <c r="C20" s="247"/>
      <c r="D20" s="248">
        <f>(C19-C21)*1000</f>
        <v>6.6199999999999868</v>
      </c>
      <c r="E20" s="245"/>
      <c r="F20" s="243">
        <f t="shared" ref="F20:F36" si="3">(E19+E21)/2</f>
        <v>12.100000000000001</v>
      </c>
      <c r="G20" s="245">
        <f t="shared" ref="G20:G36" si="4">D20*F20</f>
        <v>80.101999999999848</v>
      </c>
      <c r="H20" s="245"/>
      <c r="I20" s="243">
        <f>(H19+H21)/2</f>
        <v>0.75</v>
      </c>
      <c r="J20" s="245">
        <f t="shared" ref="J20:J36" si="5">D20*I20</f>
        <v>4.9649999999999901</v>
      </c>
      <c r="K20" s="245">
        <f t="shared" ref="K20:K36" si="6">0.6+0.6</f>
        <v>1.2</v>
      </c>
      <c r="L20" s="243">
        <f t="shared" ref="L20:L36" si="7">(K19+K21)/2</f>
        <v>10.5</v>
      </c>
      <c r="M20" s="241">
        <f t="shared" ref="M20:M36" si="8">L20*D20</f>
        <v>69.509999999999863</v>
      </c>
    </row>
    <row r="21" spans="2:13" ht="12.75" customHeight="1" x14ac:dyDescent="0.25">
      <c r="B21" s="246" t="s">
        <v>19</v>
      </c>
      <c r="C21" s="247">
        <v>0.15820000000000001</v>
      </c>
      <c r="D21" s="248"/>
      <c r="E21" s="245">
        <f>0.8+3.7+0.3+1.1+0.8+4.8+0.3+2</f>
        <v>13.8</v>
      </c>
      <c r="F21" s="244"/>
      <c r="G21" s="245"/>
      <c r="H21" s="245">
        <v>1</v>
      </c>
      <c r="I21" s="244"/>
      <c r="J21" s="245"/>
      <c r="K21" s="245">
        <f>3.7+4.8+2</f>
        <v>10.5</v>
      </c>
      <c r="L21" s="244"/>
      <c r="M21" s="242"/>
    </row>
    <row r="22" spans="2:13" ht="15" customHeight="1" x14ac:dyDescent="0.25">
      <c r="B22" s="246"/>
      <c r="C22" s="247"/>
      <c r="D22" s="248">
        <f>(C21-C23)*1000</f>
        <v>19.990000000000009</v>
      </c>
      <c r="E22" s="245"/>
      <c r="F22" s="243">
        <f>(E21+E23)/2</f>
        <v>13.75</v>
      </c>
      <c r="G22" s="245">
        <f t="shared" ref="G22" si="9">D22*F22</f>
        <v>274.86250000000013</v>
      </c>
      <c r="H22" s="245"/>
      <c r="I22" s="243">
        <f>(H21+H23)/2</f>
        <v>1</v>
      </c>
      <c r="J22" s="245">
        <f t="shared" ref="J22" si="10">D22*I22</f>
        <v>19.990000000000009</v>
      </c>
      <c r="K22" s="245">
        <f t="shared" ref="K22:K38" si="11">0.6+0.6</f>
        <v>1.2</v>
      </c>
      <c r="L22" s="243">
        <f t="shared" si="7"/>
        <v>8.6999999999999993</v>
      </c>
      <c r="M22" s="241">
        <f t="shared" ref="M22" si="12">L22*D22</f>
        <v>173.91300000000007</v>
      </c>
    </row>
    <row r="23" spans="2:13" ht="12.75" customHeight="1" x14ac:dyDescent="0.25">
      <c r="B23" s="246" t="s">
        <v>76</v>
      </c>
      <c r="C23" s="247">
        <v>0.13821</v>
      </c>
      <c r="D23" s="248"/>
      <c r="E23" s="245">
        <f>2.7+1.2+0.3+3.2+0.6+0.6+3.6+0.3+1.2</f>
        <v>13.7</v>
      </c>
      <c r="F23" s="244"/>
      <c r="G23" s="245"/>
      <c r="H23" s="245">
        <v>1</v>
      </c>
      <c r="I23" s="244"/>
      <c r="J23" s="245"/>
      <c r="K23" s="245">
        <f>3.3+3.6</f>
        <v>6.9</v>
      </c>
      <c r="L23" s="244"/>
      <c r="M23" s="242"/>
    </row>
    <row r="24" spans="2:13" ht="12.75" customHeight="1" x14ac:dyDescent="0.25">
      <c r="B24" s="246"/>
      <c r="C24" s="247"/>
      <c r="D24" s="248">
        <f>(C23-C25)*1000</f>
        <v>24.929999999999993</v>
      </c>
      <c r="E24" s="245"/>
      <c r="F24" s="243">
        <f t="shared" ref="F24" si="13">(E23+E25)/2</f>
        <v>8.7249999999999996</v>
      </c>
      <c r="G24" s="245">
        <f t="shared" ref="G24" si="14">D24*F24</f>
        <v>217.51424999999992</v>
      </c>
      <c r="H24" s="245"/>
      <c r="I24" s="243">
        <f t="shared" ref="I24" si="15">(H23+H25)/2</f>
        <v>0.5</v>
      </c>
      <c r="J24" s="245">
        <f t="shared" ref="J24" si="16">D24*I24</f>
        <v>12.464999999999996</v>
      </c>
      <c r="K24" s="245">
        <f t="shared" ref="K24" si="17">0.6+0.6</f>
        <v>1.2</v>
      </c>
      <c r="L24" s="243">
        <f t="shared" ref="L24" si="18">(K23+K25)/2</f>
        <v>4.5</v>
      </c>
      <c r="M24" s="241">
        <f t="shared" ref="M24" si="19">L24*D24</f>
        <v>112.18499999999997</v>
      </c>
    </row>
    <row r="25" spans="2:13" ht="12.75" customHeight="1" x14ac:dyDescent="0.25">
      <c r="B25" s="246" t="s">
        <v>18</v>
      </c>
      <c r="C25" s="247">
        <v>0.11328000000000001</v>
      </c>
      <c r="D25" s="248"/>
      <c r="E25" s="245">
        <f>0.6+2.1+0.3+0.75</f>
        <v>3.75</v>
      </c>
      <c r="F25" s="244"/>
      <c r="G25" s="245"/>
      <c r="H25" s="245">
        <v>0</v>
      </c>
      <c r="I25" s="244"/>
      <c r="J25" s="245"/>
      <c r="K25" s="245">
        <v>2.1</v>
      </c>
      <c r="L25" s="244"/>
      <c r="M25" s="242"/>
    </row>
    <row r="26" spans="2:13" ht="12.75" customHeight="1" x14ac:dyDescent="0.25">
      <c r="B26" s="246"/>
      <c r="C26" s="247"/>
      <c r="D26" s="248">
        <f>(C25-C27)*1000</f>
        <v>7.2500000000000062</v>
      </c>
      <c r="E26" s="245"/>
      <c r="F26" s="243">
        <f t="shared" ref="F26" si="20">(E25+E27)/2</f>
        <v>3.75</v>
      </c>
      <c r="G26" s="245">
        <f t="shared" ref="G26" si="21">D26*F26</f>
        <v>27.187500000000025</v>
      </c>
      <c r="H26" s="245"/>
      <c r="I26" s="243">
        <f t="shared" ref="I26" si="22">(H25+H27)/2</f>
        <v>0</v>
      </c>
      <c r="J26" s="245">
        <f t="shared" ref="J26" si="23">D26*I26</f>
        <v>0</v>
      </c>
      <c r="K26" s="245">
        <f t="shared" ref="K26" si="24">0.6+0.6</f>
        <v>1.2</v>
      </c>
      <c r="L26" s="243">
        <f t="shared" ref="L26" si="25">(K25+K27)/2</f>
        <v>2.1</v>
      </c>
      <c r="M26" s="241">
        <f t="shared" ref="M26" si="26">L26*D26</f>
        <v>15.225000000000014</v>
      </c>
    </row>
    <row r="27" spans="2:13" ht="12.75" customHeight="1" x14ac:dyDescent="0.25">
      <c r="B27" s="246" t="s">
        <v>17</v>
      </c>
      <c r="C27" s="247">
        <v>0.10603</v>
      </c>
      <c r="D27" s="248"/>
      <c r="E27" s="245">
        <f>2.7+0.3+0.75</f>
        <v>3.75</v>
      </c>
      <c r="F27" s="244"/>
      <c r="G27" s="245"/>
      <c r="H27" s="245">
        <v>0</v>
      </c>
      <c r="I27" s="244"/>
      <c r="J27" s="245"/>
      <c r="K27" s="245">
        <v>2.1</v>
      </c>
      <c r="L27" s="244"/>
      <c r="M27" s="242"/>
    </row>
    <row r="28" spans="2:13" ht="12.75" customHeight="1" x14ac:dyDescent="0.25">
      <c r="B28" s="260"/>
      <c r="C28" s="261"/>
      <c r="D28" s="248">
        <f>(C27-C29)*1000</f>
        <v>11.029999999999998</v>
      </c>
      <c r="E28" s="262"/>
      <c r="F28" s="243">
        <f t="shared" ref="F28:F30" si="27">(E27+E29)/2</f>
        <v>3.75</v>
      </c>
      <c r="G28" s="245">
        <f t="shared" ref="G28:G30" si="28">D28*F28</f>
        <v>41.36249999999999</v>
      </c>
      <c r="H28" s="245"/>
      <c r="I28" s="243">
        <f t="shared" ref="I28:I30" si="29">(H27+H29)/2</f>
        <v>0</v>
      </c>
      <c r="J28" s="245">
        <f t="shared" ref="J28:J30" si="30">D28*I28</f>
        <v>0</v>
      </c>
      <c r="K28" s="245">
        <f t="shared" ref="K28" si="31">0.6+0.6</f>
        <v>1.2</v>
      </c>
      <c r="L28" s="243">
        <f t="shared" ref="L28:L30" si="32">(K27+K29)/2</f>
        <v>2</v>
      </c>
      <c r="M28" s="241">
        <f t="shared" ref="M28:M30" si="33">L28*D28</f>
        <v>22.059999999999995</v>
      </c>
    </row>
    <row r="29" spans="2:13" ht="15" customHeight="1" x14ac:dyDescent="0.25">
      <c r="B29" s="246" t="s">
        <v>16</v>
      </c>
      <c r="C29" s="247">
        <v>9.5000000000000001E-2</v>
      </c>
      <c r="D29" s="248"/>
      <c r="E29" s="245">
        <f>0.6+2.1+0.3+0.75</f>
        <v>3.75</v>
      </c>
      <c r="F29" s="244"/>
      <c r="G29" s="245"/>
      <c r="H29" s="245">
        <v>0</v>
      </c>
      <c r="I29" s="244"/>
      <c r="J29" s="245"/>
      <c r="K29" s="245">
        <v>1.9</v>
      </c>
      <c r="L29" s="244"/>
      <c r="M29" s="242"/>
    </row>
    <row r="30" spans="2:13" ht="15" customHeight="1" x14ac:dyDescent="0.25">
      <c r="B30" s="260"/>
      <c r="C30" s="247"/>
      <c r="D30" s="248">
        <f>(C29-C31)*1000</f>
        <v>12.6</v>
      </c>
      <c r="E30" s="245"/>
      <c r="F30" s="243">
        <f t="shared" si="27"/>
        <v>1.875</v>
      </c>
      <c r="G30" s="245">
        <f t="shared" si="28"/>
        <v>23.625</v>
      </c>
      <c r="H30" s="245"/>
      <c r="I30" s="243">
        <f t="shared" si="29"/>
        <v>0</v>
      </c>
      <c r="J30" s="245">
        <f t="shared" si="30"/>
        <v>0</v>
      </c>
      <c r="K30" s="245">
        <f t="shared" ref="K30" si="34">0.6+0.6</f>
        <v>1.2</v>
      </c>
      <c r="L30" s="243">
        <f t="shared" si="32"/>
        <v>0.95</v>
      </c>
      <c r="M30" s="241">
        <f t="shared" si="33"/>
        <v>11.969999999999999</v>
      </c>
    </row>
    <row r="31" spans="2:13" ht="12.75" customHeight="1" x14ac:dyDescent="0.25">
      <c r="B31" s="246" t="s">
        <v>15</v>
      </c>
      <c r="C31" s="247">
        <v>8.2400000000000001E-2</v>
      </c>
      <c r="D31" s="248"/>
      <c r="E31" s="245">
        <v>0</v>
      </c>
      <c r="F31" s="244"/>
      <c r="G31" s="245"/>
      <c r="H31" s="245">
        <v>0</v>
      </c>
      <c r="I31" s="244"/>
      <c r="J31" s="245"/>
      <c r="K31" s="250">
        <v>0</v>
      </c>
      <c r="L31" s="244"/>
      <c r="M31" s="242"/>
    </row>
    <row r="32" spans="2:13" ht="12.75" customHeight="1" x14ac:dyDescent="0.25">
      <c r="B32" s="260"/>
      <c r="C32" s="247"/>
      <c r="D32" s="248">
        <f>(C31-C33)*1000</f>
        <v>36.250000000000007</v>
      </c>
      <c r="E32" s="245"/>
      <c r="F32" s="243">
        <f>(E31+E33)/2</f>
        <v>0</v>
      </c>
      <c r="G32" s="245">
        <f>D32*F32</f>
        <v>0</v>
      </c>
      <c r="H32" s="245"/>
      <c r="I32" s="243">
        <f>(H31+H33)/2</f>
        <v>0</v>
      </c>
      <c r="J32" s="245">
        <f>D32*I32</f>
        <v>0</v>
      </c>
      <c r="K32" s="250"/>
      <c r="L32" s="243">
        <f>(K31+K33)/2</f>
        <v>0</v>
      </c>
      <c r="M32" s="241">
        <f>L32*D32</f>
        <v>0</v>
      </c>
    </row>
    <row r="33" spans="2:13" ht="12.75" customHeight="1" x14ac:dyDescent="0.25">
      <c r="B33" s="249" t="s">
        <v>77</v>
      </c>
      <c r="C33" s="247">
        <v>4.6149999999999997E-2</v>
      </c>
      <c r="D33" s="248"/>
      <c r="E33" s="245">
        <v>0</v>
      </c>
      <c r="F33" s="244"/>
      <c r="G33" s="245"/>
      <c r="H33" s="245">
        <v>0</v>
      </c>
      <c r="I33" s="244"/>
      <c r="J33" s="245"/>
      <c r="K33" s="245">
        <v>0</v>
      </c>
      <c r="L33" s="244"/>
      <c r="M33" s="242"/>
    </row>
    <row r="34" spans="2:13" ht="12.75" customHeight="1" x14ac:dyDescent="0.25">
      <c r="B34" s="265"/>
      <c r="C34" s="247"/>
      <c r="D34" s="248">
        <f>(C33-C35)*1000</f>
        <v>11.08</v>
      </c>
      <c r="E34" s="245"/>
      <c r="F34" s="243">
        <f>(E33+E35)/2</f>
        <v>0</v>
      </c>
      <c r="G34" s="245">
        <f t="shared" si="0"/>
        <v>0</v>
      </c>
      <c r="H34" s="245"/>
      <c r="I34" s="243">
        <f>(H33+H35)/2</f>
        <v>0</v>
      </c>
      <c r="J34" s="245">
        <f>D34*I34</f>
        <v>0</v>
      </c>
      <c r="K34" s="245">
        <f t="shared" si="1"/>
        <v>1.2</v>
      </c>
      <c r="L34" s="243">
        <f t="shared" si="2"/>
        <v>0</v>
      </c>
      <c r="M34" s="241">
        <f>L34*D34</f>
        <v>0</v>
      </c>
    </row>
    <row r="35" spans="2:13" ht="12.75" customHeight="1" x14ac:dyDescent="0.25">
      <c r="B35" s="249" t="s">
        <v>78</v>
      </c>
      <c r="C35" s="247">
        <v>3.5069999999999997E-2</v>
      </c>
      <c r="D35" s="248"/>
      <c r="E35" s="245">
        <v>0</v>
      </c>
      <c r="F35" s="244"/>
      <c r="G35" s="245"/>
      <c r="H35" s="245">
        <v>0</v>
      </c>
      <c r="I35" s="244"/>
      <c r="J35" s="245"/>
      <c r="K35" s="245">
        <v>0</v>
      </c>
      <c r="L35" s="244"/>
      <c r="M35" s="242"/>
    </row>
    <row r="36" spans="2:13" ht="15" customHeight="1" x14ac:dyDescent="0.25">
      <c r="B36" s="249"/>
      <c r="C36" s="247"/>
      <c r="D36" s="248">
        <f>(C35-C37)*1000</f>
        <v>35.07</v>
      </c>
      <c r="E36" s="245"/>
      <c r="F36" s="243">
        <f t="shared" si="3"/>
        <v>0</v>
      </c>
      <c r="G36" s="245">
        <f t="shared" si="4"/>
        <v>0</v>
      </c>
      <c r="H36" s="245"/>
      <c r="I36" s="243">
        <f>(H35+H37)/2</f>
        <v>0</v>
      </c>
      <c r="J36" s="245">
        <f t="shared" si="5"/>
        <v>0</v>
      </c>
      <c r="K36" s="245">
        <f t="shared" si="6"/>
        <v>1.2</v>
      </c>
      <c r="L36" s="243">
        <f t="shared" si="7"/>
        <v>0</v>
      </c>
      <c r="M36" s="241">
        <f t="shared" si="8"/>
        <v>0</v>
      </c>
    </row>
    <row r="37" spans="2:13" ht="12.75" customHeight="1" x14ac:dyDescent="0.25">
      <c r="B37" s="249" t="s">
        <v>79</v>
      </c>
      <c r="C37" s="247">
        <v>0</v>
      </c>
      <c r="D37" s="248"/>
      <c r="E37" s="245">
        <v>0</v>
      </c>
      <c r="F37" s="244"/>
      <c r="G37" s="245"/>
      <c r="H37" s="245">
        <v>0</v>
      </c>
      <c r="I37" s="244"/>
      <c r="J37" s="245"/>
      <c r="K37" s="245">
        <v>0</v>
      </c>
      <c r="L37" s="244"/>
      <c r="M37" s="242"/>
    </row>
    <row r="38" spans="2:13" ht="12.75" customHeight="1" thickBot="1" x14ac:dyDescent="0.3">
      <c r="B38" s="249"/>
      <c r="C38" s="247"/>
      <c r="D38" s="93"/>
      <c r="E38" s="245"/>
      <c r="F38" s="94"/>
      <c r="G38" s="95"/>
      <c r="H38" s="245"/>
      <c r="I38" s="94"/>
      <c r="J38" s="95"/>
      <c r="K38" s="245">
        <f t="shared" si="11"/>
        <v>1.2</v>
      </c>
      <c r="L38" s="94"/>
      <c r="M38" s="97"/>
    </row>
    <row r="39" spans="2:13" ht="12.75" customHeight="1" x14ac:dyDescent="0.25">
      <c r="B39" s="41"/>
      <c r="C39" s="42"/>
      <c r="D39" s="42"/>
      <c r="E39" s="42"/>
      <c r="F39" s="42"/>
      <c r="G39" s="263">
        <f>SUM(G15:G38)</f>
        <v>839.70824999999991</v>
      </c>
      <c r="H39" s="43"/>
      <c r="I39" s="43"/>
      <c r="J39" s="263">
        <f>SUM(J15:J38)</f>
        <v>46.33</v>
      </c>
      <c r="K39" s="43"/>
      <c r="L39" s="43"/>
      <c r="M39" s="263">
        <f>SUM(M15:M38)</f>
        <v>579.41649999999993</v>
      </c>
    </row>
    <row r="40" spans="2:13" ht="12.75" customHeight="1" thickBot="1" x14ac:dyDescent="0.3">
      <c r="B40" s="44"/>
      <c r="C40" s="45"/>
      <c r="D40" s="45"/>
      <c r="E40" s="45"/>
      <c r="F40" s="45"/>
      <c r="G40" s="264"/>
      <c r="H40" s="46"/>
      <c r="I40" s="46"/>
      <c r="J40" s="264"/>
      <c r="K40" s="46"/>
      <c r="L40" s="46"/>
      <c r="M40" s="264"/>
    </row>
    <row r="42" spans="2:13" x14ac:dyDescent="0.25">
      <c r="C42" s="1" t="s">
        <v>83</v>
      </c>
      <c r="D42" s="75">
        <f>SUM(D16:D41)</f>
        <v>182.64</v>
      </c>
      <c r="E42" s="1" t="s">
        <v>14</v>
      </c>
    </row>
  </sheetData>
  <mergeCells count="148">
    <mergeCell ref="B37:B38"/>
    <mergeCell ref="C37:C38"/>
    <mergeCell ref="E37:E38"/>
    <mergeCell ref="H37:H38"/>
    <mergeCell ref="K37:K38"/>
    <mergeCell ref="I34:I35"/>
    <mergeCell ref="J34:J35"/>
    <mergeCell ref="F32:F33"/>
    <mergeCell ref="G32:G33"/>
    <mergeCell ref="I32:I33"/>
    <mergeCell ref="J32:J33"/>
    <mergeCell ref="C33:C34"/>
    <mergeCell ref="E33:E34"/>
    <mergeCell ref="H33:H34"/>
    <mergeCell ref="K33:K34"/>
    <mergeCell ref="D34:D35"/>
    <mergeCell ref="F34:F35"/>
    <mergeCell ref="G34:G35"/>
    <mergeCell ref="G39:G40"/>
    <mergeCell ref="J39:J40"/>
    <mergeCell ref="M39:M40"/>
    <mergeCell ref="I36:I37"/>
    <mergeCell ref="J36:J37"/>
    <mergeCell ref="L36:L37"/>
    <mergeCell ref="M36:M37"/>
    <mergeCell ref="B31:B32"/>
    <mergeCell ref="C31:C32"/>
    <mergeCell ref="E31:E32"/>
    <mergeCell ref="H31:H32"/>
    <mergeCell ref="K31:K32"/>
    <mergeCell ref="D32:D33"/>
    <mergeCell ref="L34:L35"/>
    <mergeCell ref="M34:M35"/>
    <mergeCell ref="B35:B36"/>
    <mergeCell ref="C35:C36"/>
    <mergeCell ref="E35:E36"/>
    <mergeCell ref="H35:H36"/>
    <mergeCell ref="K35:K36"/>
    <mergeCell ref="D36:D37"/>
    <mergeCell ref="F36:F37"/>
    <mergeCell ref="G36:G37"/>
    <mergeCell ref="B33:B34"/>
    <mergeCell ref="I28:I29"/>
    <mergeCell ref="J28:J29"/>
    <mergeCell ref="F26:F27"/>
    <mergeCell ref="G26:G27"/>
    <mergeCell ref="I26:I27"/>
    <mergeCell ref="J26:J27"/>
    <mergeCell ref="L32:L33"/>
    <mergeCell ref="M32:M33"/>
    <mergeCell ref="I30:I31"/>
    <mergeCell ref="J30:J31"/>
    <mergeCell ref="L30:L31"/>
    <mergeCell ref="M30:M31"/>
    <mergeCell ref="B25:B26"/>
    <mergeCell ref="C25:C26"/>
    <mergeCell ref="E25:E26"/>
    <mergeCell ref="H25:H26"/>
    <mergeCell ref="K25:K26"/>
    <mergeCell ref="D26:D27"/>
    <mergeCell ref="L28:L29"/>
    <mergeCell ref="M28:M29"/>
    <mergeCell ref="B29:B30"/>
    <mergeCell ref="C29:C30"/>
    <mergeCell ref="E29:E30"/>
    <mergeCell ref="H29:H30"/>
    <mergeCell ref="K29:K30"/>
    <mergeCell ref="D30:D31"/>
    <mergeCell ref="F30:F31"/>
    <mergeCell ref="G30:G31"/>
    <mergeCell ref="B27:B28"/>
    <mergeCell ref="C27:C28"/>
    <mergeCell ref="E27:E28"/>
    <mergeCell ref="H27:H28"/>
    <mergeCell ref="K27:K28"/>
    <mergeCell ref="D28:D29"/>
    <mergeCell ref="F28:F29"/>
    <mergeCell ref="G28:G29"/>
    <mergeCell ref="I22:I23"/>
    <mergeCell ref="J22:J23"/>
    <mergeCell ref="F20:F21"/>
    <mergeCell ref="G20:G21"/>
    <mergeCell ref="I20:I21"/>
    <mergeCell ref="J20:J21"/>
    <mergeCell ref="L26:L27"/>
    <mergeCell ref="M26:M27"/>
    <mergeCell ref="I24:I25"/>
    <mergeCell ref="J24:J25"/>
    <mergeCell ref="L24:L25"/>
    <mergeCell ref="M24:M25"/>
    <mergeCell ref="B19:B20"/>
    <mergeCell ref="C19:C20"/>
    <mergeCell ref="E19:E20"/>
    <mergeCell ref="H19:H20"/>
    <mergeCell ref="K19:K20"/>
    <mergeCell ref="D20:D21"/>
    <mergeCell ref="L22:L23"/>
    <mergeCell ref="M22:M23"/>
    <mergeCell ref="B23:B24"/>
    <mergeCell ref="C23:C24"/>
    <mergeCell ref="E23:E24"/>
    <mergeCell ref="H23:H24"/>
    <mergeCell ref="K23:K24"/>
    <mergeCell ref="D24:D25"/>
    <mergeCell ref="F24:F25"/>
    <mergeCell ref="G24:G25"/>
    <mergeCell ref="B21:B22"/>
    <mergeCell ref="C21:C22"/>
    <mergeCell ref="E21:E22"/>
    <mergeCell ref="H21:H22"/>
    <mergeCell ref="K21:K22"/>
    <mergeCell ref="D22:D23"/>
    <mergeCell ref="F22:F23"/>
    <mergeCell ref="G22:G23"/>
    <mergeCell ref="F16:F17"/>
    <mergeCell ref="G16:G17"/>
    <mergeCell ref="I16:I17"/>
    <mergeCell ref="J16:J17"/>
    <mergeCell ref="L20:L21"/>
    <mergeCell ref="M20:M21"/>
    <mergeCell ref="I18:I19"/>
    <mergeCell ref="J18:J19"/>
    <mergeCell ref="L18:L19"/>
    <mergeCell ref="M18:M19"/>
    <mergeCell ref="B10:C11"/>
    <mergeCell ref="D10:D12"/>
    <mergeCell ref="E10:G10"/>
    <mergeCell ref="H10:J10"/>
    <mergeCell ref="K10:M10"/>
    <mergeCell ref="E11:G11"/>
    <mergeCell ref="H11:J11"/>
    <mergeCell ref="K11:M11"/>
    <mergeCell ref="L16:L17"/>
    <mergeCell ref="M16:M17"/>
    <mergeCell ref="B17:B18"/>
    <mergeCell ref="C17:C18"/>
    <mergeCell ref="E17:E18"/>
    <mergeCell ref="H17:H18"/>
    <mergeCell ref="K17:K18"/>
    <mergeCell ref="D18:D19"/>
    <mergeCell ref="F18:F19"/>
    <mergeCell ref="G18:G19"/>
    <mergeCell ref="B15:B16"/>
    <mergeCell ref="C15:C16"/>
    <mergeCell ref="E15:E16"/>
    <mergeCell ref="H15:H16"/>
    <mergeCell ref="K15:K16"/>
    <mergeCell ref="D16:D17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Header>&amp;RVýkaz výměr SO 03</oddHeader>
    <oddFooter>&amp;L&amp;9&amp;F&amp;C&amp;A&amp;R&amp;P/&amp;N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155"/>
  <sheetViews>
    <sheetView topLeftCell="A175" zoomScale="115" zoomScaleNormal="115" workbookViewId="0">
      <selection activeCell="H322" sqref="H322"/>
    </sheetView>
  </sheetViews>
  <sheetFormatPr defaultRowHeight="15" x14ac:dyDescent="0.25"/>
  <cols>
    <col min="1" max="1" width="2.7109375" style="1" customWidth="1"/>
    <col min="2" max="2" width="32" style="1" customWidth="1"/>
    <col min="3" max="3" width="8.140625" style="1" customWidth="1"/>
    <col min="4" max="4" width="7.140625" style="1" customWidth="1"/>
    <col min="5" max="5" width="8.42578125" style="1" customWidth="1"/>
    <col min="6" max="6" width="8.28515625" style="1" customWidth="1"/>
    <col min="7" max="7" width="8.5703125" style="1" customWidth="1"/>
    <col min="8" max="8" width="7.85546875" style="1" customWidth="1"/>
    <col min="9" max="9" width="10.5703125" style="1" customWidth="1"/>
    <col min="10" max="10" width="8.42578125" style="1" customWidth="1"/>
    <col min="11" max="11" width="8.85546875" style="1" bestFit="1" customWidth="1"/>
    <col min="12" max="12" width="7.140625" style="1" customWidth="1"/>
    <col min="13" max="13" width="8.5703125" style="1" customWidth="1"/>
    <col min="14" max="14" width="8.28515625" style="1" customWidth="1"/>
    <col min="15" max="15" width="7.140625" style="1" customWidth="1"/>
    <col min="16" max="16" width="8.85546875" style="1" customWidth="1"/>
    <col min="17" max="17" width="8.42578125" style="1" customWidth="1"/>
    <col min="18" max="18" width="11.42578125" style="1" bestFit="1" customWidth="1"/>
    <col min="19" max="19" width="9.140625" style="1"/>
    <col min="20" max="20" width="11.42578125" style="1" bestFit="1" customWidth="1"/>
    <col min="21" max="21" width="9.140625" style="1"/>
    <col min="22" max="22" width="11.28515625" style="1" customWidth="1"/>
    <col min="23" max="16384" width="9.140625" style="1"/>
  </cols>
  <sheetData>
    <row r="2" spans="2:23" ht="15.75" x14ac:dyDescent="0.25">
      <c r="B2" s="2" t="s">
        <v>40</v>
      </c>
      <c r="C2" s="54"/>
      <c r="D2" s="54"/>
    </row>
    <row r="3" spans="2:23" ht="15.75" x14ac:dyDescent="0.25">
      <c r="B3" s="2" t="s">
        <v>41</v>
      </c>
      <c r="C3" s="54"/>
      <c r="D3" s="54"/>
    </row>
    <row r="4" spans="2:23" ht="15.75" x14ac:dyDescent="0.25">
      <c r="B4" s="4" t="s">
        <v>39</v>
      </c>
    </row>
    <row r="5" spans="2:23" x14ac:dyDescent="0.25">
      <c r="B5" s="5" t="s">
        <v>80</v>
      </c>
    </row>
    <row r="6" spans="2:23" x14ac:dyDescent="0.25">
      <c r="B6" s="6" t="s">
        <v>1</v>
      </c>
    </row>
    <row r="7" spans="2:23" x14ac:dyDescent="0.25">
      <c r="B7" s="6" t="s">
        <v>2</v>
      </c>
    </row>
    <row r="8" spans="2:23" x14ac:dyDescent="0.25">
      <c r="B8" s="7" t="s">
        <v>252</v>
      </c>
    </row>
    <row r="9" spans="2:23" ht="8.25" customHeight="1" x14ac:dyDescent="0.25">
      <c r="B9" s="18"/>
      <c r="C9" s="18"/>
      <c r="D9" s="18"/>
      <c r="E9" s="18"/>
      <c r="F9" s="18"/>
      <c r="G9" s="18"/>
      <c r="H9" s="19"/>
      <c r="I9" s="29"/>
      <c r="J9" s="18"/>
      <c r="K9" s="29"/>
      <c r="L9" s="18"/>
      <c r="M9" s="29"/>
      <c r="N9" s="18"/>
      <c r="O9" s="29"/>
      <c r="P9" s="18"/>
      <c r="Q9" s="30"/>
      <c r="R9" s="20"/>
      <c r="S9" s="29"/>
      <c r="T9" s="18"/>
      <c r="U9" s="29"/>
      <c r="V9" s="18"/>
      <c r="W9" s="29"/>
    </row>
    <row r="11" spans="2:23" ht="18.75" thickBot="1" x14ac:dyDescent="0.3">
      <c r="B11" s="239" t="s">
        <v>312</v>
      </c>
      <c r="C11" s="240"/>
      <c r="D11" s="240"/>
      <c r="E11" s="240"/>
      <c r="F11" s="240"/>
      <c r="G11" s="240"/>
      <c r="H11" s="240"/>
      <c r="I11" s="240"/>
      <c r="J11" s="240"/>
      <c r="K11" s="240"/>
    </row>
    <row r="12" spans="2:23" ht="45" x14ac:dyDescent="0.25">
      <c r="B12" s="215"/>
      <c r="C12" s="216" t="s">
        <v>262</v>
      </c>
      <c r="D12" s="216" t="s">
        <v>263</v>
      </c>
      <c r="E12" s="216" t="s">
        <v>259</v>
      </c>
      <c r="F12" s="216" t="s">
        <v>260</v>
      </c>
      <c r="G12" s="216" t="s">
        <v>261</v>
      </c>
      <c r="H12" s="217" t="s">
        <v>253</v>
      </c>
      <c r="I12" s="216" t="s">
        <v>268</v>
      </c>
      <c r="J12" s="217" t="s">
        <v>254</v>
      </c>
      <c r="K12" s="218"/>
    </row>
    <row r="13" spans="2:23" x14ac:dyDescent="0.25">
      <c r="B13" s="219" t="s">
        <v>266</v>
      </c>
      <c r="C13" s="204">
        <v>31.17</v>
      </c>
      <c r="D13" s="204"/>
      <c r="E13" s="204"/>
      <c r="F13" s="204"/>
      <c r="G13" s="204"/>
      <c r="H13" s="205"/>
      <c r="I13" s="204"/>
      <c r="J13" s="205"/>
      <c r="K13" s="220"/>
    </row>
    <row r="14" spans="2:23" x14ac:dyDescent="0.25">
      <c r="B14" s="221" t="s">
        <v>255</v>
      </c>
      <c r="C14" s="81"/>
      <c r="D14" s="81"/>
      <c r="E14" s="81"/>
      <c r="F14" s="81"/>
      <c r="G14" s="81"/>
      <c r="H14" s="81">
        <v>0.8</v>
      </c>
      <c r="I14" s="81">
        <v>113.5</v>
      </c>
      <c r="J14" s="104">
        <f>H14*I14</f>
        <v>90.800000000000011</v>
      </c>
      <c r="K14" s="222"/>
    </row>
    <row r="15" spans="2:23" x14ac:dyDescent="0.25">
      <c r="B15" s="221" t="s">
        <v>264</v>
      </c>
      <c r="C15" s="81"/>
      <c r="D15" s="81">
        <v>6.5</v>
      </c>
      <c r="E15" s="81">
        <v>3.2</v>
      </c>
      <c r="F15" s="81">
        <v>2.75</v>
      </c>
      <c r="G15" s="81">
        <f>(E15+F15)/2</f>
        <v>2.9750000000000001</v>
      </c>
      <c r="H15" s="81">
        <v>1.2</v>
      </c>
      <c r="I15" s="81"/>
      <c r="J15" s="104">
        <f>D15*G15*H15</f>
        <v>23.205000000000002</v>
      </c>
      <c r="K15" s="222"/>
    </row>
    <row r="16" spans="2:23" x14ac:dyDescent="0.25">
      <c r="B16" s="221" t="s">
        <v>265</v>
      </c>
      <c r="C16" s="81"/>
      <c r="D16" s="81">
        <v>24.67</v>
      </c>
      <c r="E16" s="81"/>
      <c r="F16" s="81"/>
      <c r="G16" s="81">
        <v>2.75</v>
      </c>
      <c r="H16" s="81">
        <v>1.2</v>
      </c>
      <c r="I16" s="81"/>
      <c r="J16" s="104">
        <f>D16*G16*H16</f>
        <v>81.411000000000001</v>
      </c>
      <c r="K16" s="222"/>
    </row>
    <row r="17" spans="2:11" x14ac:dyDescent="0.25">
      <c r="B17" s="221" t="s">
        <v>256</v>
      </c>
      <c r="C17" s="81"/>
      <c r="D17" s="81">
        <v>31.17</v>
      </c>
      <c r="E17" s="81"/>
      <c r="F17" s="81"/>
      <c r="G17" s="81">
        <v>1.6</v>
      </c>
      <c r="H17" s="81">
        <v>0.5</v>
      </c>
      <c r="I17" s="81"/>
      <c r="J17" s="104">
        <f>D17*G17*H17</f>
        <v>24.936000000000003</v>
      </c>
      <c r="K17" s="222"/>
    </row>
    <row r="18" spans="2:11" x14ac:dyDescent="0.25">
      <c r="B18" s="221" t="s">
        <v>257</v>
      </c>
      <c r="C18" s="81"/>
      <c r="D18" s="81">
        <v>31.17</v>
      </c>
      <c r="E18" s="81"/>
      <c r="F18" s="81"/>
      <c r="G18" s="81">
        <v>0.2</v>
      </c>
      <c r="H18" s="81">
        <v>0.64</v>
      </c>
      <c r="I18" s="81"/>
      <c r="J18" s="104">
        <f>D18*G18*H18</f>
        <v>3.9897600000000009</v>
      </c>
      <c r="K18" s="222"/>
    </row>
    <row r="19" spans="2:11" x14ac:dyDescent="0.25">
      <c r="B19" s="223" t="s">
        <v>258</v>
      </c>
      <c r="C19" s="202"/>
      <c r="D19" s="202"/>
      <c r="E19" s="202"/>
      <c r="F19" s="202"/>
      <c r="G19" s="202"/>
      <c r="H19" s="202"/>
      <c r="I19" s="202"/>
      <c r="J19" s="208">
        <f>SUM(J14:J18)</f>
        <v>224.34175999999999</v>
      </c>
      <c r="K19" s="224"/>
    </row>
    <row r="20" spans="2:11" x14ac:dyDescent="0.25">
      <c r="B20" s="221"/>
      <c r="C20" s="81"/>
      <c r="D20" s="81"/>
      <c r="E20" s="81"/>
      <c r="F20" s="81"/>
      <c r="G20" s="81"/>
      <c r="H20" s="81"/>
      <c r="I20" s="81"/>
      <c r="J20" s="81"/>
      <c r="K20" s="222"/>
    </row>
    <row r="21" spans="2:11" x14ac:dyDescent="0.25">
      <c r="B21" s="219" t="s">
        <v>267</v>
      </c>
      <c r="C21" s="205">
        <v>23.78</v>
      </c>
      <c r="D21" s="205"/>
      <c r="E21" s="205"/>
      <c r="F21" s="205"/>
      <c r="G21" s="205"/>
      <c r="H21" s="205"/>
      <c r="I21" s="205"/>
      <c r="J21" s="205"/>
      <c r="K21" s="220"/>
    </row>
    <row r="22" spans="2:11" x14ac:dyDescent="0.25">
      <c r="B22" s="221" t="s">
        <v>269</v>
      </c>
      <c r="C22" s="81"/>
      <c r="D22" s="81"/>
      <c r="E22" s="81"/>
      <c r="F22" s="81"/>
      <c r="G22" s="81"/>
      <c r="H22" s="81">
        <v>0.6</v>
      </c>
      <c r="I22" s="81">
        <f>18*2.4</f>
        <v>43.199999999999996</v>
      </c>
      <c r="J22" s="104">
        <f>H22*I22</f>
        <v>25.919999999999998</v>
      </c>
      <c r="K22" s="222"/>
    </row>
    <row r="23" spans="2:11" x14ac:dyDescent="0.25">
      <c r="B23" s="221" t="s">
        <v>270</v>
      </c>
      <c r="C23" s="81"/>
      <c r="D23" s="81"/>
      <c r="E23" s="81"/>
      <c r="F23" s="81"/>
      <c r="G23" s="81"/>
      <c r="H23" s="81">
        <v>0.8</v>
      </c>
      <c r="I23" s="81">
        <f>(5+4.2)/2*5.78</f>
        <v>26.587999999999997</v>
      </c>
      <c r="J23" s="104">
        <f>H23*I23</f>
        <v>21.270399999999999</v>
      </c>
      <c r="K23" s="222"/>
    </row>
    <row r="24" spans="2:11" x14ac:dyDescent="0.25">
      <c r="B24" s="221" t="s">
        <v>271</v>
      </c>
      <c r="C24" s="81"/>
      <c r="D24" s="81">
        <v>12</v>
      </c>
      <c r="E24" s="81">
        <v>2.4</v>
      </c>
      <c r="F24" s="81">
        <v>2.4</v>
      </c>
      <c r="G24" s="81">
        <f>(E24+F24)/2</f>
        <v>2.4</v>
      </c>
      <c r="H24" s="81">
        <v>1.2</v>
      </c>
      <c r="I24" s="81"/>
      <c r="J24" s="104">
        <f t="shared" ref="J24:J29" si="0">D24*G24*H24</f>
        <v>34.559999999999995</v>
      </c>
      <c r="K24" s="222"/>
    </row>
    <row r="25" spans="2:11" x14ac:dyDescent="0.25">
      <c r="B25" s="221" t="s">
        <v>272</v>
      </c>
      <c r="C25" s="81"/>
      <c r="D25" s="81">
        <v>6</v>
      </c>
      <c r="E25" s="81">
        <v>2.4</v>
      </c>
      <c r="F25" s="81">
        <v>0.9</v>
      </c>
      <c r="G25" s="81">
        <f>(E25+F25)/2</f>
        <v>1.65</v>
      </c>
      <c r="H25" s="81">
        <f>(1.2+0.7)/2</f>
        <v>0.95</v>
      </c>
      <c r="I25" s="81"/>
      <c r="J25" s="104">
        <f t="shared" si="0"/>
        <v>9.4049999999999976</v>
      </c>
      <c r="K25" s="222"/>
    </row>
    <row r="26" spans="2:11" x14ac:dyDescent="0.25">
      <c r="B26" s="221" t="s">
        <v>273</v>
      </c>
      <c r="C26" s="81"/>
      <c r="D26" s="81">
        <v>5.78</v>
      </c>
      <c r="E26" s="81">
        <v>2.75</v>
      </c>
      <c r="F26" s="81">
        <v>2.75</v>
      </c>
      <c r="G26" s="81">
        <f>(E26+F26)/2</f>
        <v>2.75</v>
      </c>
      <c r="H26" s="81">
        <v>1</v>
      </c>
      <c r="I26" s="81"/>
      <c r="J26" s="104">
        <f t="shared" si="0"/>
        <v>15.895000000000001</v>
      </c>
      <c r="K26" s="222"/>
    </row>
    <row r="27" spans="2:11" x14ac:dyDescent="0.25">
      <c r="B27" s="221" t="s">
        <v>274</v>
      </c>
      <c r="C27" s="81"/>
      <c r="D27" s="81">
        <v>18</v>
      </c>
      <c r="E27" s="81">
        <v>1</v>
      </c>
      <c r="F27" s="81">
        <v>1</v>
      </c>
      <c r="G27" s="81">
        <f>(E27+F27)/2</f>
        <v>1</v>
      </c>
      <c r="H27" s="81">
        <v>0.5</v>
      </c>
      <c r="I27" s="81"/>
      <c r="J27" s="104">
        <f t="shared" si="0"/>
        <v>9</v>
      </c>
      <c r="K27" s="222"/>
    </row>
    <row r="28" spans="2:11" x14ac:dyDescent="0.25">
      <c r="B28" s="221" t="s">
        <v>275</v>
      </c>
      <c r="C28" s="81"/>
      <c r="D28" s="81">
        <v>5.78</v>
      </c>
      <c r="E28" s="81">
        <v>1.6</v>
      </c>
      <c r="F28" s="81">
        <v>0.65</v>
      </c>
      <c r="G28" s="81">
        <f>(E28+F28)/2</f>
        <v>1.125</v>
      </c>
      <c r="H28" s="81">
        <v>0.5</v>
      </c>
      <c r="I28" s="81"/>
      <c r="J28" s="104">
        <f t="shared" si="0"/>
        <v>3.2512500000000002</v>
      </c>
      <c r="K28" s="222"/>
    </row>
    <row r="29" spans="2:11" x14ac:dyDescent="0.25">
      <c r="B29" s="221" t="s">
        <v>257</v>
      </c>
      <c r="C29" s="81"/>
      <c r="D29" s="81">
        <v>23.78</v>
      </c>
      <c r="E29" s="81"/>
      <c r="F29" s="81"/>
      <c r="G29" s="81">
        <v>0.2</v>
      </c>
      <c r="H29" s="81">
        <v>0.64</v>
      </c>
      <c r="I29" s="81"/>
      <c r="J29" s="104">
        <f t="shared" si="0"/>
        <v>3.0438400000000003</v>
      </c>
      <c r="K29" s="222"/>
    </row>
    <row r="30" spans="2:11" x14ac:dyDescent="0.25">
      <c r="B30" s="223" t="s">
        <v>276</v>
      </c>
      <c r="C30" s="202"/>
      <c r="D30" s="202"/>
      <c r="E30" s="202"/>
      <c r="F30" s="202"/>
      <c r="G30" s="202"/>
      <c r="H30" s="202"/>
      <c r="I30" s="202"/>
      <c r="J30" s="203">
        <f>SUM(J22:J29)</f>
        <v>122.34548999999998</v>
      </c>
      <c r="K30" s="224"/>
    </row>
    <row r="31" spans="2:11" x14ac:dyDescent="0.25">
      <c r="B31" s="221"/>
      <c r="C31" s="81"/>
      <c r="D31" s="81"/>
      <c r="E31" s="81"/>
      <c r="F31" s="81"/>
      <c r="G31" s="81"/>
      <c r="H31" s="81"/>
      <c r="I31" s="81"/>
      <c r="J31" s="81"/>
      <c r="K31" s="222"/>
    </row>
    <row r="32" spans="2:11" x14ac:dyDescent="0.25">
      <c r="B32" s="219" t="s">
        <v>277</v>
      </c>
      <c r="C32" s="205">
        <v>30</v>
      </c>
      <c r="D32" s="205"/>
      <c r="E32" s="205"/>
      <c r="F32" s="205"/>
      <c r="G32" s="205"/>
      <c r="H32" s="205"/>
      <c r="I32" s="205"/>
      <c r="J32" s="205"/>
      <c r="K32" s="220"/>
    </row>
    <row r="33" spans="2:11" x14ac:dyDescent="0.25">
      <c r="B33" s="221" t="s">
        <v>255</v>
      </c>
      <c r="C33" s="81"/>
      <c r="D33" s="81"/>
      <c r="E33" s="81"/>
      <c r="F33" s="81"/>
      <c r="G33" s="81"/>
      <c r="H33" s="81">
        <v>0.6</v>
      </c>
      <c r="I33" s="81">
        <v>50.7</v>
      </c>
      <c r="J33" s="104">
        <f>H33*I33</f>
        <v>30.42</v>
      </c>
      <c r="K33" s="222"/>
    </row>
    <row r="34" spans="2:11" x14ac:dyDescent="0.25">
      <c r="B34" s="221" t="s">
        <v>278</v>
      </c>
      <c r="C34" s="81"/>
      <c r="D34" s="81">
        <v>30</v>
      </c>
      <c r="E34" s="81">
        <v>1.9</v>
      </c>
      <c r="F34" s="81">
        <v>1.9</v>
      </c>
      <c r="G34" s="81">
        <f>(E34+F34)/2</f>
        <v>1.9</v>
      </c>
      <c r="H34" s="81">
        <v>0.5</v>
      </c>
      <c r="I34" s="81"/>
      <c r="J34" s="104">
        <f>D34*G34*H34</f>
        <v>28.5</v>
      </c>
      <c r="K34" s="222"/>
    </row>
    <row r="35" spans="2:11" x14ac:dyDescent="0.25">
      <c r="B35" s="221" t="s">
        <v>279</v>
      </c>
      <c r="C35" s="81"/>
      <c r="D35" s="81">
        <v>0.8</v>
      </c>
      <c r="E35" s="81">
        <v>1.9</v>
      </c>
      <c r="F35" s="81">
        <v>1.9</v>
      </c>
      <c r="G35" s="81">
        <f>(E35+F35)/2</f>
        <v>1.9</v>
      </c>
      <c r="H35" s="81">
        <v>-0.25</v>
      </c>
      <c r="I35" s="81"/>
      <c r="J35" s="104">
        <f>D35*G35*H35</f>
        <v>-0.38</v>
      </c>
      <c r="K35" s="222"/>
    </row>
    <row r="36" spans="2:11" x14ac:dyDescent="0.25">
      <c r="B36" s="221" t="s">
        <v>257</v>
      </c>
      <c r="C36" s="81"/>
      <c r="D36" s="81">
        <v>30</v>
      </c>
      <c r="E36" s="81"/>
      <c r="F36" s="81"/>
      <c r="G36" s="81">
        <v>0.2</v>
      </c>
      <c r="H36" s="81">
        <v>0.64</v>
      </c>
      <c r="I36" s="81"/>
      <c r="J36" s="104">
        <f>D36*G36*H36</f>
        <v>3.84</v>
      </c>
      <c r="K36" s="222"/>
    </row>
    <row r="37" spans="2:11" x14ac:dyDescent="0.25">
      <c r="B37" s="221" t="s">
        <v>280</v>
      </c>
      <c r="C37" s="81"/>
      <c r="D37" s="81">
        <v>0.8</v>
      </c>
      <c r="E37" s="81"/>
      <c r="F37" s="81"/>
      <c r="G37" s="81">
        <v>0.2</v>
      </c>
      <c r="H37" s="81">
        <v>-0.32</v>
      </c>
      <c r="I37" s="81"/>
      <c r="J37" s="104">
        <f>D37*G37*H37</f>
        <v>-5.1200000000000009E-2</v>
      </c>
      <c r="K37" s="222"/>
    </row>
    <row r="38" spans="2:11" x14ac:dyDescent="0.25">
      <c r="B38" s="223" t="s">
        <v>281</v>
      </c>
      <c r="C38" s="202"/>
      <c r="D38" s="202"/>
      <c r="E38" s="202"/>
      <c r="F38" s="202"/>
      <c r="G38" s="202"/>
      <c r="H38" s="202"/>
      <c r="I38" s="202"/>
      <c r="J38" s="208">
        <f>SUM(J33:J37)</f>
        <v>62.328799999999994</v>
      </c>
      <c r="K38" s="224"/>
    </row>
    <row r="39" spans="2:11" x14ac:dyDescent="0.25">
      <c r="B39" s="221"/>
      <c r="C39" s="81"/>
      <c r="D39" s="81"/>
      <c r="E39" s="81"/>
      <c r="F39" s="81"/>
      <c r="G39" s="81"/>
      <c r="H39" s="81"/>
      <c r="I39" s="81"/>
      <c r="J39" s="81"/>
      <c r="K39" s="222"/>
    </row>
    <row r="40" spans="2:11" x14ac:dyDescent="0.25">
      <c r="B40" s="219" t="s">
        <v>282</v>
      </c>
      <c r="C40" s="205">
        <v>6.19</v>
      </c>
      <c r="D40" s="205"/>
      <c r="E40" s="205"/>
      <c r="F40" s="205"/>
      <c r="G40" s="205"/>
      <c r="H40" s="205"/>
      <c r="I40" s="205"/>
      <c r="J40" s="205"/>
      <c r="K40" s="220"/>
    </row>
    <row r="41" spans="2:11" x14ac:dyDescent="0.25">
      <c r="B41" s="221" t="s">
        <v>255</v>
      </c>
      <c r="C41" s="81"/>
      <c r="D41" s="81"/>
      <c r="E41" s="81"/>
      <c r="F41" s="81"/>
      <c r="G41" s="81"/>
      <c r="H41" s="81">
        <v>0.6</v>
      </c>
      <c r="I41" s="81">
        <v>8.7200000000000006</v>
      </c>
      <c r="J41" s="104">
        <f>H41*I41</f>
        <v>5.2320000000000002</v>
      </c>
      <c r="K41" s="222"/>
    </row>
    <row r="42" spans="2:11" x14ac:dyDescent="0.25">
      <c r="B42" s="221" t="s">
        <v>278</v>
      </c>
      <c r="C42" s="81"/>
      <c r="D42" s="81">
        <v>4.6900000000000004</v>
      </c>
      <c r="E42" s="81">
        <v>1.9</v>
      </c>
      <c r="F42" s="81">
        <v>1.9</v>
      </c>
      <c r="G42" s="81">
        <f>(E42+F42)/2</f>
        <v>1.9</v>
      </c>
      <c r="H42" s="81">
        <v>0.5</v>
      </c>
      <c r="I42" s="81"/>
      <c r="J42" s="104">
        <f>D42*G42*H42</f>
        <v>4.4554999999999998</v>
      </c>
      <c r="K42" s="222"/>
    </row>
    <row r="43" spans="2:11" x14ac:dyDescent="0.25">
      <c r="B43" s="221" t="s">
        <v>283</v>
      </c>
      <c r="C43" s="81"/>
      <c r="D43" s="81">
        <v>1.5</v>
      </c>
      <c r="E43" s="81">
        <v>1.9</v>
      </c>
      <c r="F43" s="81">
        <v>1.9</v>
      </c>
      <c r="G43" s="81">
        <f>(E43+F43)/2</f>
        <v>1.9</v>
      </c>
      <c r="H43" s="81">
        <v>0.5</v>
      </c>
      <c r="I43" s="81"/>
      <c r="J43" s="104">
        <f>D43*G43*H43</f>
        <v>1.4249999999999998</v>
      </c>
      <c r="K43" s="222"/>
    </row>
    <row r="44" spans="2:11" x14ac:dyDescent="0.25">
      <c r="B44" s="221" t="s">
        <v>257</v>
      </c>
      <c r="C44" s="81"/>
      <c r="D44" s="81">
        <v>4.6900000000000004</v>
      </c>
      <c r="E44" s="81"/>
      <c r="F44" s="81"/>
      <c r="G44" s="81">
        <v>0.2</v>
      </c>
      <c r="H44" s="81">
        <v>0.64</v>
      </c>
      <c r="I44" s="81"/>
      <c r="J44" s="104">
        <f>D44*G44*H44</f>
        <v>0.60032000000000008</v>
      </c>
      <c r="K44" s="222"/>
    </row>
    <row r="45" spans="2:11" x14ac:dyDescent="0.25">
      <c r="B45" s="221" t="s">
        <v>284</v>
      </c>
      <c r="C45" s="81"/>
      <c r="D45" s="81">
        <v>1.5</v>
      </c>
      <c r="E45" s="81"/>
      <c r="F45" s="81"/>
      <c r="G45" s="81">
        <v>0.2</v>
      </c>
      <c r="H45" s="81">
        <v>0.64</v>
      </c>
      <c r="I45" s="81"/>
      <c r="J45" s="104">
        <f>D45*G45*H45</f>
        <v>0.19200000000000003</v>
      </c>
      <c r="K45" s="222"/>
    </row>
    <row r="46" spans="2:11" x14ac:dyDescent="0.25">
      <c r="B46" s="223" t="s">
        <v>285</v>
      </c>
      <c r="C46" s="202"/>
      <c r="D46" s="202"/>
      <c r="E46" s="202"/>
      <c r="F46" s="202"/>
      <c r="G46" s="202"/>
      <c r="H46" s="202"/>
      <c r="I46" s="202"/>
      <c r="J46" s="208">
        <f>SUM(J41:J45)</f>
        <v>11.904820000000001</v>
      </c>
      <c r="K46" s="224"/>
    </row>
    <row r="47" spans="2:11" x14ac:dyDescent="0.25">
      <c r="B47" s="225"/>
      <c r="C47" s="81"/>
      <c r="D47" s="81"/>
      <c r="E47" s="81"/>
      <c r="F47" s="81"/>
      <c r="G47" s="81"/>
      <c r="H47" s="81"/>
      <c r="I47" s="81"/>
      <c r="J47" s="105"/>
      <c r="K47" s="222"/>
    </row>
    <row r="48" spans="2:11" x14ac:dyDescent="0.25">
      <c r="B48" s="219" t="s">
        <v>359</v>
      </c>
      <c r="C48" s="205"/>
      <c r="D48" s="205"/>
      <c r="E48" s="205"/>
      <c r="F48" s="205"/>
      <c r="G48" s="205"/>
      <c r="H48" s="205"/>
      <c r="I48" s="205"/>
      <c r="J48" s="206"/>
      <c r="K48" s="220"/>
    </row>
    <row r="49" spans="2:11" x14ac:dyDescent="0.25">
      <c r="B49" s="226">
        <v>40</v>
      </c>
      <c r="C49" s="81"/>
      <c r="D49" s="81">
        <v>7.72</v>
      </c>
      <c r="E49" s="81"/>
      <c r="F49" s="81"/>
      <c r="G49" s="81"/>
      <c r="H49" s="81"/>
      <c r="I49" s="81">
        <v>0.65</v>
      </c>
      <c r="J49" s="139">
        <f>D49*I49</f>
        <v>5.0179999999999998</v>
      </c>
      <c r="K49" s="222"/>
    </row>
    <row r="50" spans="2:11" x14ac:dyDescent="0.25">
      <c r="B50" s="226">
        <v>41</v>
      </c>
      <c r="C50" s="81"/>
      <c r="D50" s="81">
        <v>6.76</v>
      </c>
      <c r="E50" s="81"/>
      <c r="F50" s="81"/>
      <c r="G50" s="81"/>
      <c r="H50" s="81"/>
      <c r="I50" s="81">
        <v>0.75</v>
      </c>
      <c r="J50" s="139">
        <f t="shared" ref="J50:J51" si="1">D50*I50</f>
        <v>5.07</v>
      </c>
      <c r="K50" s="222"/>
    </row>
    <row r="51" spans="2:11" x14ac:dyDescent="0.25">
      <c r="B51" s="226">
        <v>42</v>
      </c>
      <c r="C51" s="81"/>
      <c r="D51" s="81">
        <v>7.15</v>
      </c>
      <c r="E51" s="81"/>
      <c r="F51" s="81"/>
      <c r="G51" s="81"/>
      <c r="H51" s="81"/>
      <c r="I51" s="81">
        <v>0.88</v>
      </c>
      <c r="J51" s="139">
        <f t="shared" si="1"/>
        <v>6.2920000000000007</v>
      </c>
      <c r="K51" s="222"/>
    </row>
    <row r="52" spans="2:11" x14ac:dyDescent="0.25">
      <c r="B52" s="223" t="s">
        <v>360</v>
      </c>
      <c r="C52" s="202"/>
      <c r="D52" s="202"/>
      <c r="E52" s="202"/>
      <c r="F52" s="202"/>
      <c r="G52" s="202"/>
      <c r="H52" s="202"/>
      <c r="I52" s="202"/>
      <c r="J52" s="208">
        <f>SUM(J49:J51)</f>
        <v>16.380000000000003</v>
      </c>
      <c r="K52" s="224"/>
    </row>
    <row r="53" spans="2:11" x14ac:dyDescent="0.25">
      <c r="B53" s="221"/>
      <c r="C53" s="81"/>
      <c r="D53" s="81"/>
      <c r="E53" s="81"/>
      <c r="F53" s="81"/>
      <c r="G53" s="81"/>
      <c r="H53" s="81"/>
      <c r="I53" s="81"/>
      <c r="J53" s="81"/>
      <c r="K53" s="222"/>
    </row>
    <row r="54" spans="2:11" x14ac:dyDescent="0.25">
      <c r="B54" s="219" t="s">
        <v>286</v>
      </c>
      <c r="C54" s="205">
        <v>20.63</v>
      </c>
      <c r="D54" s="205"/>
      <c r="E54" s="205"/>
      <c r="F54" s="205"/>
      <c r="G54" s="205"/>
      <c r="H54" s="205"/>
      <c r="I54" s="205"/>
      <c r="J54" s="205"/>
      <c r="K54" s="220"/>
    </row>
    <row r="55" spans="2:11" x14ac:dyDescent="0.25">
      <c r="B55" s="221" t="s">
        <v>287</v>
      </c>
      <c r="C55" s="81"/>
      <c r="D55" s="81"/>
      <c r="E55" s="81"/>
      <c r="F55" s="81"/>
      <c r="G55" s="81"/>
      <c r="H55" s="81">
        <v>0.8</v>
      </c>
      <c r="I55" s="81">
        <v>20.71</v>
      </c>
      <c r="J55" s="104">
        <f>H55*I55</f>
        <v>16.568000000000001</v>
      </c>
      <c r="K55" s="222"/>
    </row>
    <row r="56" spans="2:11" x14ac:dyDescent="0.25">
      <c r="B56" s="221" t="s">
        <v>288</v>
      </c>
      <c r="C56" s="81"/>
      <c r="D56" s="81"/>
      <c r="E56" s="81"/>
      <c r="F56" s="81"/>
      <c r="G56" s="81"/>
      <c r="H56" s="81">
        <v>0.8</v>
      </c>
      <c r="I56" s="81">
        <v>26.43</v>
      </c>
      <c r="J56" s="104">
        <f>H56*I56</f>
        <v>21.144000000000002</v>
      </c>
      <c r="K56" s="222"/>
    </row>
    <row r="57" spans="2:11" ht="30" x14ac:dyDescent="0.25">
      <c r="B57" s="227" t="s">
        <v>289</v>
      </c>
      <c r="C57" s="81"/>
      <c r="D57" s="81">
        <v>8.6300000000000008</v>
      </c>
      <c r="E57" s="81">
        <v>2.2000000000000002</v>
      </c>
      <c r="F57" s="81">
        <v>2.2000000000000002</v>
      </c>
      <c r="G57" s="81">
        <f t="shared" ref="G57:G63" si="2">(E57+F57)/2</f>
        <v>2.2000000000000002</v>
      </c>
      <c r="H57" s="81">
        <v>1.2</v>
      </c>
      <c r="I57" s="81"/>
      <c r="J57" s="104">
        <f>D57*G57*H57</f>
        <v>22.783200000000004</v>
      </c>
      <c r="K57" s="222"/>
    </row>
    <row r="58" spans="2:11" ht="30" x14ac:dyDescent="0.25">
      <c r="B58" s="227" t="s">
        <v>290</v>
      </c>
      <c r="C58" s="81"/>
      <c r="D58" s="81">
        <v>8.6300000000000008</v>
      </c>
      <c r="E58" s="81">
        <v>2.2000000000000002</v>
      </c>
      <c r="F58" s="81">
        <v>0</v>
      </c>
      <c r="G58" s="81">
        <f t="shared" si="2"/>
        <v>1.1000000000000001</v>
      </c>
      <c r="H58" s="81">
        <v>0.53</v>
      </c>
      <c r="I58" s="81"/>
      <c r="J58" s="104">
        <f t="shared" ref="J58:J65" si="3">D58*G58*H58</f>
        <v>5.0312900000000012</v>
      </c>
      <c r="K58" s="222"/>
    </row>
    <row r="59" spans="2:11" x14ac:dyDescent="0.25">
      <c r="B59" s="221" t="s">
        <v>291</v>
      </c>
      <c r="C59" s="81"/>
      <c r="D59" s="81">
        <v>12</v>
      </c>
      <c r="E59" s="81">
        <v>2.1</v>
      </c>
      <c r="F59" s="81">
        <v>2.1</v>
      </c>
      <c r="G59" s="81">
        <f t="shared" si="2"/>
        <v>2.1</v>
      </c>
      <c r="H59" s="81">
        <v>1.2</v>
      </c>
      <c r="I59" s="81"/>
      <c r="J59" s="104">
        <f t="shared" si="3"/>
        <v>30.240000000000002</v>
      </c>
      <c r="K59" s="222"/>
    </row>
    <row r="60" spans="2:11" ht="30" x14ac:dyDescent="0.25">
      <c r="B60" s="227" t="s">
        <v>292</v>
      </c>
      <c r="C60" s="81"/>
      <c r="D60" s="81">
        <v>0.8</v>
      </c>
      <c r="E60" s="81">
        <v>2.1</v>
      </c>
      <c r="F60" s="81">
        <v>2.1</v>
      </c>
      <c r="G60" s="81">
        <f t="shared" si="2"/>
        <v>2.1</v>
      </c>
      <c r="H60" s="81">
        <v>-0.25</v>
      </c>
      <c r="I60" s="81"/>
      <c r="J60" s="104">
        <f t="shared" si="3"/>
        <v>-0.42000000000000004</v>
      </c>
      <c r="K60" s="222"/>
    </row>
    <row r="61" spans="2:11" x14ac:dyDescent="0.25">
      <c r="B61" s="221" t="s">
        <v>293</v>
      </c>
      <c r="C61" s="81"/>
      <c r="D61" s="81">
        <v>12</v>
      </c>
      <c r="E61" s="81">
        <v>1.6</v>
      </c>
      <c r="F61" s="81">
        <v>1.6</v>
      </c>
      <c r="G61" s="81">
        <f t="shared" si="2"/>
        <v>1.6</v>
      </c>
      <c r="H61" s="81">
        <v>0.5</v>
      </c>
      <c r="I61" s="81"/>
      <c r="J61" s="104">
        <f t="shared" si="3"/>
        <v>9.6000000000000014</v>
      </c>
      <c r="K61" s="222"/>
    </row>
    <row r="62" spans="2:11" ht="30" x14ac:dyDescent="0.25">
      <c r="B62" s="227" t="s">
        <v>294</v>
      </c>
      <c r="C62" s="81"/>
      <c r="D62" s="81">
        <v>0.8</v>
      </c>
      <c r="E62" s="81">
        <v>1.6</v>
      </c>
      <c r="F62" s="81">
        <v>1.6</v>
      </c>
      <c r="G62" s="81">
        <f t="shared" si="2"/>
        <v>1.6</v>
      </c>
      <c r="H62" s="81">
        <v>-0.25</v>
      </c>
      <c r="I62" s="81"/>
      <c r="J62" s="104">
        <f t="shared" si="3"/>
        <v>-0.32000000000000006</v>
      </c>
      <c r="K62" s="222"/>
    </row>
    <row r="63" spans="2:11" x14ac:dyDescent="0.25">
      <c r="B63" s="221" t="s">
        <v>295</v>
      </c>
      <c r="C63" s="81"/>
      <c r="D63" s="81">
        <v>8.6300000000000008</v>
      </c>
      <c r="E63" s="81">
        <v>1.5</v>
      </c>
      <c r="F63" s="81">
        <v>1.5</v>
      </c>
      <c r="G63" s="81">
        <f t="shared" si="2"/>
        <v>1.5</v>
      </c>
      <c r="H63" s="81">
        <v>0.5</v>
      </c>
      <c r="I63" s="81"/>
      <c r="J63" s="104">
        <f t="shared" si="3"/>
        <v>6.4725000000000001</v>
      </c>
      <c r="K63" s="222"/>
    </row>
    <row r="64" spans="2:11" x14ac:dyDescent="0.25">
      <c r="B64" s="227" t="s">
        <v>296</v>
      </c>
      <c r="C64" s="81"/>
      <c r="D64" s="81">
        <v>20.63</v>
      </c>
      <c r="E64" s="81"/>
      <c r="F64" s="81"/>
      <c r="G64" s="81">
        <v>0.2</v>
      </c>
      <c r="H64" s="81">
        <v>0.64</v>
      </c>
      <c r="I64" s="81"/>
      <c r="J64" s="104">
        <f t="shared" si="3"/>
        <v>2.6406400000000003</v>
      </c>
      <c r="K64" s="222"/>
    </row>
    <row r="65" spans="2:11" x14ac:dyDescent="0.25">
      <c r="B65" s="227" t="s">
        <v>297</v>
      </c>
      <c r="C65" s="81"/>
      <c r="D65" s="81">
        <v>0.8</v>
      </c>
      <c r="E65" s="81"/>
      <c r="F65" s="81"/>
      <c r="G65" s="81">
        <v>0.2</v>
      </c>
      <c r="H65" s="81">
        <v>-0.32</v>
      </c>
      <c r="I65" s="81"/>
      <c r="J65" s="104">
        <f t="shared" si="3"/>
        <v>-5.1200000000000009E-2</v>
      </c>
      <c r="K65" s="222"/>
    </row>
    <row r="66" spans="2:11" x14ac:dyDescent="0.25">
      <c r="B66" s="223" t="s">
        <v>299</v>
      </c>
      <c r="C66" s="202"/>
      <c r="D66" s="202"/>
      <c r="E66" s="202"/>
      <c r="F66" s="202"/>
      <c r="G66" s="202"/>
      <c r="H66" s="202"/>
      <c r="I66" s="202"/>
      <c r="J66" s="208">
        <f>SUM(J55:J65)</f>
        <v>113.68843000000003</v>
      </c>
      <c r="K66" s="224"/>
    </row>
    <row r="67" spans="2:11" x14ac:dyDescent="0.25">
      <c r="B67" s="227"/>
      <c r="C67" s="81"/>
      <c r="D67" s="81"/>
      <c r="E67" s="81"/>
      <c r="F67" s="81"/>
      <c r="G67" s="81"/>
      <c r="H67" s="81"/>
      <c r="I67" s="81"/>
      <c r="J67" s="104"/>
      <c r="K67" s="222"/>
    </row>
    <row r="68" spans="2:11" x14ac:dyDescent="0.25">
      <c r="B68" s="219" t="s">
        <v>298</v>
      </c>
      <c r="C68" s="205">
        <v>12</v>
      </c>
      <c r="D68" s="205"/>
      <c r="E68" s="205"/>
      <c r="F68" s="205"/>
      <c r="G68" s="205"/>
      <c r="H68" s="205"/>
      <c r="I68" s="205"/>
      <c r="J68" s="207"/>
      <c r="K68" s="220"/>
    </row>
    <row r="69" spans="2:11" x14ac:dyDescent="0.25">
      <c r="B69" s="227" t="s">
        <v>300</v>
      </c>
      <c r="C69" s="81"/>
      <c r="D69" s="81"/>
      <c r="E69" s="81"/>
      <c r="F69" s="81"/>
      <c r="G69" s="81"/>
      <c r="H69" s="81">
        <v>0.8</v>
      </c>
      <c r="I69" s="81">
        <v>13.2</v>
      </c>
      <c r="J69" s="104">
        <f>H69*I69</f>
        <v>10.56</v>
      </c>
      <c r="K69" s="222"/>
    </row>
    <row r="70" spans="2:11" x14ac:dyDescent="0.25">
      <c r="B70" s="227" t="s">
        <v>301</v>
      </c>
      <c r="C70" s="81"/>
      <c r="D70" s="81"/>
      <c r="E70" s="81"/>
      <c r="F70" s="81"/>
      <c r="G70" s="81"/>
      <c r="H70" s="81">
        <v>0.6</v>
      </c>
      <c r="I70" s="81">
        <v>10.199999999999999</v>
      </c>
      <c r="J70" s="104">
        <f>H70*I70</f>
        <v>6.1199999999999992</v>
      </c>
      <c r="K70" s="222"/>
    </row>
    <row r="71" spans="2:11" x14ac:dyDescent="0.25">
      <c r="B71" s="221" t="s">
        <v>302</v>
      </c>
      <c r="C71" s="81"/>
      <c r="D71" s="81">
        <v>6</v>
      </c>
      <c r="E71" s="81">
        <v>2.1</v>
      </c>
      <c r="F71" s="81">
        <v>1.5</v>
      </c>
      <c r="G71" s="81">
        <f>(E71+F71)/2</f>
        <v>1.8</v>
      </c>
      <c r="H71" s="81">
        <v>1</v>
      </c>
      <c r="I71" s="81"/>
      <c r="J71" s="104">
        <f>D71*G71*H71</f>
        <v>10.8</v>
      </c>
      <c r="K71" s="222"/>
    </row>
    <row r="72" spans="2:11" x14ac:dyDescent="0.25">
      <c r="B72" s="221" t="s">
        <v>303</v>
      </c>
      <c r="C72" s="81"/>
      <c r="D72" s="81">
        <v>6</v>
      </c>
      <c r="E72" s="81">
        <v>1.6</v>
      </c>
      <c r="F72" s="81">
        <v>0.2</v>
      </c>
      <c r="G72" s="81">
        <f>(E72+F72)/2</f>
        <v>0.9</v>
      </c>
      <c r="H72" s="81">
        <v>0.5</v>
      </c>
      <c r="I72" s="81"/>
      <c r="J72" s="104">
        <f>D72*G72*H72</f>
        <v>2.7</v>
      </c>
      <c r="K72" s="222"/>
    </row>
    <row r="73" spans="2:11" x14ac:dyDescent="0.25">
      <c r="B73" s="227" t="s">
        <v>304</v>
      </c>
      <c r="C73" s="81"/>
      <c r="D73" s="81">
        <v>6</v>
      </c>
      <c r="E73" s="81">
        <v>1.7</v>
      </c>
      <c r="F73" s="81">
        <v>1.7</v>
      </c>
      <c r="G73" s="81">
        <f>(E73+F73)/2</f>
        <v>1.7</v>
      </c>
      <c r="H73" s="81">
        <v>0.5</v>
      </c>
      <c r="I73" s="81"/>
      <c r="J73" s="104">
        <f>D73*G73*H73</f>
        <v>5.0999999999999996</v>
      </c>
      <c r="K73" s="222"/>
    </row>
    <row r="74" spans="2:11" x14ac:dyDescent="0.25">
      <c r="B74" s="227" t="s">
        <v>257</v>
      </c>
      <c r="C74" s="81"/>
      <c r="D74" s="81">
        <v>12</v>
      </c>
      <c r="E74" s="81"/>
      <c r="F74" s="81"/>
      <c r="G74" s="81">
        <v>0.2</v>
      </c>
      <c r="H74" s="81">
        <v>0.64</v>
      </c>
      <c r="I74" s="81"/>
      <c r="J74" s="104">
        <f>D74*G74*H74</f>
        <v>1.5360000000000003</v>
      </c>
      <c r="K74" s="222"/>
    </row>
    <row r="75" spans="2:11" x14ac:dyDescent="0.25">
      <c r="B75" s="223" t="s">
        <v>305</v>
      </c>
      <c r="C75" s="202"/>
      <c r="D75" s="202"/>
      <c r="E75" s="202"/>
      <c r="F75" s="202"/>
      <c r="G75" s="202"/>
      <c r="H75" s="202"/>
      <c r="I75" s="202"/>
      <c r="J75" s="208">
        <f>SUM(J69:J74)</f>
        <v>36.816000000000003</v>
      </c>
      <c r="K75" s="224"/>
    </row>
    <row r="76" spans="2:11" x14ac:dyDescent="0.25">
      <c r="B76" s="227"/>
      <c r="C76" s="81"/>
      <c r="D76" s="81"/>
      <c r="E76" s="81"/>
      <c r="F76" s="81"/>
      <c r="G76" s="81"/>
      <c r="H76" s="81"/>
      <c r="I76" s="81"/>
      <c r="J76" s="104"/>
      <c r="K76" s="222"/>
    </row>
    <row r="77" spans="2:11" x14ac:dyDescent="0.25">
      <c r="B77" s="219" t="s">
        <v>306</v>
      </c>
      <c r="C77" s="205">
        <v>7</v>
      </c>
      <c r="D77" s="205"/>
      <c r="E77" s="205"/>
      <c r="F77" s="205"/>
      <c r="G77" s="205"/>
      <c r="H77" s="205"/>
      <c r="I77" s="205"/>
      <c r="J77" s="205"/>
      <c r="K77" s="220"/>
    </row>
    <row r="78" spans="2:11" x14ac:dyDescent="0.25">
      <c r="B78" s="221" t="s">
        <v>255</v>
      </c>
      <c r="C78" s="81"/>
      <c r="D78" s="81"/>
      <c r="E78" s="81"/>
      <c r="F78" s="81"/>
      <c r="G78" s="81"/>
      <c r="H78" s="81">
        <v>0.6</v>
      </c>
      <c r="I78" s="81">
        <v>10.7</v>
      </c>
      <c r="J78" s="104">
        <f>H78*I78</f>
        <v>6.419999999999999</v>
      </c>
      <c r="K78" s="222"/>
    </row>
    <row r="79" spans="2:11" x14ac:dyDescent="0.25">
      <c r="B79" s="221" t="s">
        <v>278</v>
      </c>
      <c r="C79" s="81"/>
      <c r="D79" s="81">
        <v>6</v>
      </c>
      <c r="E79" s="81">
        <v>1.7</v>
      </c>
      <c r="F79" s="81">
        <v>1.7</v>
      </c>
      <c r="G79" s="81">
        <f>(E79+F79)/2</f>
        <v>1.7</v>
      </c>
      <c r="H79" s="81">
        <v>0.5</v>
      </c>
      <c r="I79" s="81"/>
      <c r="J79" s="104">
        <f>D79*G79*H79</f>
        <v>5.0999999999999996</v>
      </c>
      <c r="K79" s="222"/>
    </row>
    <row r="80" spans="2:11" x14ac:dyDescent="0.25">
      <c r="B80" s="221" t="s">
        <v>307</v>
      </c>
      <c r="C80" s="81"/>
      <c r="D80" s="81">
        <v>1</v>
      </c>
      <c r="E80" s="81">
        <v>1.7</v>
      </c>
      <c r="F80" s="81">
        <v>1.7</v>
      </c>
      <c r="G80" s="81">
        <f>(E80+F80)/2</f>
        <v>1.7</v>
      </c>
      <c r="H80" s="81">
        <v>0.5</v>
      </c>
      <c r="I80" s="81"/>
      <c r="J80" s="104">
        <f>D80*G80*H80</f>
        <v>0.85</v>
      </c>
      <c r="K80" s="222"/>
    </row>
    <row r="81" spans="2:11" x14ac:dyDescent="0.25">
      <c r="B81" s="227" t="s">
        <v>257</v>
      </c>
      <c r="C81" s="81"/>
      <c r="D81" s="81">
        <v>7</v>
      </c>
      <c r="E81" s="81"/>
      <c r="F81" s="81"/>
      <c r="G81" s="81">
        <v>0.2</v>
      </c>
      <c r="H81" s="81">
        <v>0.64</v>
      </c>
      <c r="I81" s="81"/>
      <c r="J81" s="104">
        <f>D81*G81*H81</f>
        <v>0.89600000000000013</v>
      </c>
      <c r="K81" s="222"/>
    </row>
    <row r="82" spans="2:11" x14ac:dyDescent="0.25">
      <c r="B82" s="223" t="s">
        <v>308</v>
      </c>
      <c r="C82" s="202"/>
      <c r="D82" s="202"/>
      <c r="E82" s="202"/>
      <c r="F82" s="202"/>
      <c r="G82" s="202"/>
      <c r="H82" s="202"/>
      <c r="I82" s="202"/>
      <c r="J82" s="208">
        <f>SUM(J78:J81)</f>
        <v>13.266</v>
      </c>
      <c r="K82" s="224"/>
    </row>
    <row r="83" spans="2:11" x14ac:dyDescent="0.25">
      <c r="B83" s="225"/>
      <c r="C83" s="81"/>
      <c r="D83" s="81"/>
      <c r="E83" s="81"/>
      <c r="F83" s="81"/>
      <c r="G83" s="81"/>
      <c r="H83" s="81"/>
      <c r="I83" s="81"/>
      <c r="J83" s="105"/>
      <c r="K83" s="222"/>
    </row>
    <row r="84" spans="2:11" x14ac:dyDescent="0.25">
      <c r="B84" s="221"/>
      <c r="C84" s="81"/>
      <c r="D84" s="81"/>
      <c r="E84" s="81"/>
      <c r="F84" s="81"/>
      <c r="G84" s="81"/>
      <c r="H84" s="81"/>
      <c r="I84" s="81"/>
      <c r="J84" s="81"/>
      <c r="K84" s="222"/>
    </row>
    <row r="85" spans="2:11" ht="15.75" x14ac:dyDescent="0.25">
      <c r="B85" s="228" t="s">
        <v>309</v>
      </c>
      <c r="C85" s="209">
        <f>C13+C21+C32+C40+C54+C68+C77</f>
        <v>130.76999999999998</v>
      </c>
      <c r="D85" s="209"/>
      <c r="E85" s="209"/>
      <c r="F85" s="209"/>
      <c r="G85" s="209"/>
      <c r="H85" s="209"/>
      <c r="I85" s="209"/>
      <c r="J85" s="210">
        <f>J19+J30+J38+J46+J52+J66+J75+J82</f>
        <v>601.07129999999995</v>
      </c>
      <c r="K85" s="229"/>
    </row>
    <row r="86" spans="2:11" x14ac:dyDescent="0.25">
      <c r="B86" s="225"/>
      <c r="C86" s="81"/>
      <c r="D86" s="81"/>
      <c r="E86" s="81"/>
      <c r="F86" s="81"/>
      <c r="G86" s="81"/>
      <c r="H86" s="81"/>
      <c r="I86" s="81"/>
      <c r="J86" s="105"/>
      <c r="K86" s="222"/>
    </row>
    <row r="87" spans="2:11" x14ac:dyDescent="0.25">
      <c r="B87" s="225"/>
      <c r="C87" s="81"/>
      <c r="D87" s="81"/>
      <c r="E87" s="81"/>
      <c r="F87" s="81"/>
      <c r="G87" s="81"/>
      <c r="H87" s="81"/>
      <c r="I87" s="81"/>
      <c r="J87" s="105"/>
      <c r="K87" s="222"/>
    </row>
    <row r="88" spans="2:11" x14ac:dyDescent="0.25">
      <c r="B88" s="225"/>
      <c r="C88" s="81"/>
      <c r="D88" s="81"/>
      <c r="E88" s="81"/>
      <c r="F88" s="81"/>
      <c r="G88" s="81"/>
      <c r="H88" s="81"/>
      <c r="I88" s="81"/>
      <c r="J88" s="105"/>
      <c r="K88" s="222"/>
    </row>
    <row r="89" spans="2:11" x14ac:dyDescent="0.25">
      <c r="B89" s="225"/>
      <c r="C89" s="81"/>
      <c r="D89" s="81"/>
      <c r="E89" s="81"/>
      <c r="F89" s="81"/>
      <c r="G89" s="81"/>
      <c r="H89" s="81"/>
      <c r="I89" s="81"/>
      <c r="J89" s="105"/>
      <c r="K89" s="222"/>
    </row>
    <row r="90" spans="2:11" x14ac:dyDescent="0.25">
      <c r="B90" s="225"/>
      <c r="C90" s="81"/>
      <c r="D90" s="81"/>
      <c r="E90" s="81"/>
      <c r="F90" s="81"/>
      <c r="G90" s="81"/>
      <c r="H90" s="81"/>
      <c r="I90" s="81"/>
      <c r="J90" s="105"/>
      <c r="K90" s="222"/>
    </row>
    <row r="91" spans="2:11" ht="18" x14ac:dyDescent="0.25">
      <c r="B91" s="230" t="s">
        <v>311</v>
      </c>
      <c r="C91" s="205"/>
      <c r="D91" s="205"/>
      <c r="E91" s="205"/>
      <c r="F91" s="205"/>
      <c r="G91" s="205"/>
      <c r="H91" s="205"/>
      <c r="I91" s="205"/>
      <c r="J91" s="206"/>
      <c r="K91" s="220"/>
    </row>
    <row r="92" spans="2:11" x14ac:dyDescent="0.25">
      <c r="B92" s="225"/>
      <c r="C92" s="81"/>
      <c r="D92" s="81"/>
      <c r="E92" s="81"/>
      <c r="F92" s="81"/>
      <c r="G92" s="81"/>
      <c r="H92" s="81"/>
      <c r="I92" s="81"/>
      <c r="J92" s="105"/>
      <c r="K92" s="222"/>
    </row>
    <row r="93" spans="2:11" x14ac:dyDescent="0.25">
      <c r="B93" s="231" t="s">
        <v>266</v>
      </c>
      <c r="C93" s="81"/>
      <c r="D93" s="81"/>
      <c r="E93" s="81"/>
      <c r="F93" s="81"/>
      <c r="G93" s="81"/>
      <c r="H93" s="81">
        <v>0.15</v>
      </c>
      <c r="I93" s="81">
        <v>120.49</v>
      </c>
      <c r="J93" s="104">
        <f t="shared" ref="J93:J99" si="4">H93*I93</f>
        <v>18.073499999999999</v>
      </c>
      <c r="K93" s="222"/>
    </row>
    <row r="94" spans="2:11" x14ac:dyDescent="0.25">
      <c r="B94" s="231" t="s">
        <v>267</v>
      </c>
      <c r="C94" s="81"/>
      <c r="D94" s="81"/>
      <c r="E94" s="81"/>
      <c r="F94" s="81"/>
      <c r="G94" s="81"/>
      <c r="H94" s="81">
        <v>0.15</v>
      </c>
      <c r="I94" s="81">
        <v>73.430000000000007</v>
      </c>
      <c r="J94" s="104">
        <f t="shared" si="4"/>
        <v>11.0145</v>
      </c>
      <c r="K94" s="222"/>
    </row>
    <row r="95" spans="2:11" x14ac:dyDescent="0.25">
      <c r="B95" s="231" t="s">
        <v>277</v>
      </c>
      <c r="C95" s="81"/>
      <c r="D95" s="81"/>
      <c r="E95" s="81"/>
      <c r="F95" s="81"/>
      <c r="G95" s="81"/>
      <c r="H95" s="81">
        <v>0.15</v>
      </c>
      <c r="I95" s="81">
        <v>59.17</v>
      </c>
      <c r="J95" s="104">
        <f t="shared" si="4"/>
        <v>8.8755000000000006</v>
      </c>
      <c r="K95" s="222"/>
    </row>
    <row r="96" spans="2:11" x14ac:dyDescent="0.25">
      <c r="B96" s="231" t="s">
        <v>282</v>
      </c>
      <c r="C96" s="81"/>
      <c r="D96" s="81"/>
      <c r="E96" s="81"/>
      <c r="F96" s="81"/>
      <c r="G96" s="81"/>
      <c r="H96" s="81">
        <v>0.15</v>
      </c>
      <c r="I96" s="81">
        <v>9.7799999999999994</v>
      </c>
      <c r="J96" s="104">
        <f t="shared" si="4"/>
        <v>1.4669999999999999</v>
      </c>
      <c r="K96" s="222"/>
    </row>
    <row r="97" spans="2:11" x14ac:dyDescent="0.25">
      <c r="B97" s="231" t="s">
        <v>286</v>
      </c>
      <c r="C97" s="81"/>
      <c r="D97" s="81"/>
      <c r="E97" s="81"/>
      <c r="F97" s="81"/>
      <c r="G97" s="81"/>
      <c r="H97" s="81">
        <v>0.15</v>
      </c>
      <c r="I97" s="81">
        <v>51.8</v>
      </c>
      <c r="J97" s="104">
        <f t="shared" si="4"/>
        <v>7.77</v>
      </c>
      <c r="K97" s="222"/>
    </row>
    <row r="98" spans="2:11" x14ac:dyDescent="0.25">
      <c r="B98" s="231" t="s">
        <v>298</v>
      </c>
      <c r="C98" s="81"/>
      <c r="D98" s="81"/>
      <c r="E98" s="81"/>
      <c r="F98" s="81"/>
      <c r="G98" s="81"/>
      <c r="H98" s="81">
        <v>0.15</v>
      </c>
      <c r="I98" s="81">
        <v>28.8</v>
      </c>
      <c r="J98" s="104">
        <f t="shared" si="4"/>
        <v>4.32</v>
      </c>
      <c r="K98" s="222"/>
    </row>
    <row r="99" spans="2:11" x14ac:dyDescent="0.25">
      <c r="B99" s="231" t="s">
        <v>306</v>
      </c>
      <c r="C99" s="81"/>
      <c r="D99" s="81"/>
      <c r="E99" s="81"/>
      <c r="F99" s="81"/>
      <c r="G99" s="81"/>
      <c r="H99" s="81">
        <v>0.15</v>
      </c>
      <c r="I99" s="81">
        <v>14.33</v>
      </c>
      <c r="J99" s="104">
        <f t="shared" si="4"/>
        <v>2.1494999999999997</v>
      </c>
      <c r="K99" s="222"/>
    </row>
    <row r="100" spans="2:11" x14ac:dyDescent="0.25">
      <c r="B100" s="225"/>
      <c r="C100" s="81"/>
      <c r="D100" s="81"/>
      <c r="E100" s="81"/>
      <c r="F100" s="81"/>
      <c r="G100" s="81"/>
      <c r="H100" s="81"/>
      <c r="I100" s="81"/>
      <c r="J100" s="105"/>
      <c r="K100" s="222"/>
    </row>
    <row r="101" spans="2:11" x14ac:dyDescent="0.25">
      <c r="B101" s="225"/>
      <c r="C101" s="81"/>
      <c r="D101" s="81"/>
      <c r="E101" s="81"/>
      <c r="F101" s="81"/>
      <c r="G101" s="81"/>
      <c r="H101" s="81"/>
      <c r="I101" s="81"/>
      <c r="J101" s="105"/>
      <c r="K101" s="222"/>
    </row>
    <row r="102" spans="2:11" ht="15.75" x14ac:dyDescent="0.25">
      <c r="B102" s="232" t="s">
        <v>310</v>
      </c>
      <c r="C102" s="202"/>
      <c r="D102" s="202"/>
      <c r="E102" s="202"/>
      <c r="F102" s="202"/>
      <c r="G102" s="202"/>
      <c r="H102" s="202"/>
      <c r="I102" s="202"/>
      <c r="J102" s="208">
        <f>SUM(J93:J99)</f>
        <v>53.67</v>
      </c>
      <c r="K102" s="224"/>
    </row>
    <row r="103" spans="2:11" x14ac:dyDescent="0.25">
      <c r="B103" s="225"/>
      <c r="C103" s="81"/>
      <c r="D103" s="81"/>
      <c r="E103" s="81"/>
      <c r="F103" s="81"/>
      <c r="G103" s="81"/>
      <c r="H103" s="81"/>
      <c r="I103" s="81"/>
      <c r="J103" s="105"/>
      <c r="K103" s="222"/>
    </row>
    <row r="104" spans="2:11" x14ac:dyDescent="0.25">
      <c r="B104" s="225"/>
      <c r="C104" s="81"/>
      <c r="D104" s="81"/>
      <c r="E104" s="81"/>
      <c r="F104" s="81"/>
      <c r="G104" s="81"/>
      <c r="H104" s="81"/>
      <c r="I104" s="81"/>
      <c r="J104" s="105"/>
      <c r="K104" s="222"/>
    </row>
    <row r="105" spans="2:11" x14ac:dyDescent="0.25">
      <c r="B105" s="233" t="s">
        <v>327</v>
      </c>
      <c r="C105" s="81"/>
      <c r="D105" s="81"/>
      <c r="E105" s="81"/>
      <c r="F105" s="81"/>
      <c r="G105" s="81"/>
      <c r="H105" s="81"/>
      <c r="I105" s="81"/>
      <c r="J105" s="105"/>
      <c r="K105" s="222"/>
    </row>
    <row r="106" spans="2:11" x14ac:dyDescent="0.25">
      <c r="B106" s="234" t="s">
        <v>266</v>
      </c>
      <c r="C106" s="81"/>
      <c r="D106" s="81">
        <f>15*0.6</f>
        <v>9</v>
      </c>
      <c r="E106" s="81"/>
      <c r="F106" s="81"/>
      <c r="G106" s="81"/>
      <c r="H106" s="81"/>
      <c r="I106" s="81"/>
      <c r="J106" s="105"/>
      <c r="K106" s="222" t="s">
        <v>313</v>
      </c>
    </row>
    <row r="107" spans="2:11" x14ac:dyDescent="0.25">
      <c r="B107" s="234" t="s">
        <v>267</v>
      </c>
      <c r="C107" s="81"/>
      <c r="D107" s="81">
        <f>12*0.6</f>
        <v>7.1999999999999993</v>
      </c>
      <c r="E107" s="81"/>
      <c r="F107" s="81"/>
      <c r="G107" s="81"/>
      <c r="H107" s="81"/>
      <c r="I107" s="81"/>
      <c r="J107" s="105"/>
      <c r="K107" s="222" t="s">
        <v>314</v>
      </c>
    </row>
    <row r="108" spans="2:11" x14ac:dyDescent="0.25">
      <c r="B108" s="234" t="s">
        <v>286</v>
      </c>
      <c r="C108" s="81"/>
      <c r="D108" s="81">
        <f>10*0.6</f>
        <v>6</v>
      </c>
      <c r="E108" s="81"/>
      <c r="F108" s="81"/>
      <c r="G108" s="81"/>
      <c r="H108" s="81"/>
      <c r="I108" s="81"/>
      <c r="J108" s="105"/>
      <c r="K108" s="222" t="s">
        <v>315</v>
      </c>
    </row>
    <row r="109" spans="2:11" x14ac:dyDescent="0.25">
      <c r="B109" s="234" t="s">
        <v>298</v>
      </c>
      <c r="C109" s="81"/>
      <c r="D109" s="81">
        <f>6*0.6</f>
        <v>3.5999999999999996</v>
      </c>
      <c r="E109" s="81"/>
      <c r="F109" s="81"/>
      <c r="G109" s="81"/>
      <c r="H109" s="81"/>
      <c r="I109" s="81"/>
      <c r="J109" s="105"/>
      <c r="K109" s="222" t="s">
        <v>316</v>
      </c>
    </row>
    <row r="110" spans="2:11" x14ac:dyDescent="0.25">
      <c r="B110" s="234" t="s">
        <v>306</v>
      </c>
      <c r="C110" s="81"/>
      <c r="D110" s="81">
        <f>3*0.6</f>
        <v>1.7999999999999998</v>
      </c>
      <c r="E110" s="81"/>
      <c r="F110" s="81"/>
      <c r="G110" s="81"/>
      <c r="H110" s="81"/>
      <c r="I110" s="81"/>
      <c r="J110" s="105"/>
      <c r="K110" s="222" t="s">
        <v>317</v>
      </c>
    </row>
    <row r="111" spans="2:11" x14ac:dyDescent="0.25">
      <c r="B111" s="225"/>
      <c r="C111" s="81"/>
      <c r="D111" s="81"/>
      <c r="E111" s="81"/>
      <c r="F111" s="81"/>
      <c r="G111" s="81"/>
      <c r="H111" s="81"/>
      <c r="I111" s="81"/>
      <c r="J111" s="105"/>
      <c r="K111" s="222"/>
    </row>
    <row r="112" spans="2:11" x14ac:dyDescent="0.25">
      <c r="B112" s="233" t="s">
        <v>326</v>
      </c>
      <c r="C112" s="81"/>
      <c r="D112" s="103">
        <f>SUM(D106:D110)</f>
        <v>27.599999999999998</v>
      </c>
      <c r="E112" s="81"/>
      <c r="F112" s="81"/>
      <c r="G112" s="81"/>
      <c r="H112" s="81"/>
      <c r="I112" s="81"/>
      <c r="J112" s="105"/>
      <c r="K112" s="222"/>
    </row>
    <row r="113" spans="2:11" x14ac:dyDescent="0.25">
      <c r="B113" s="225"/>
      <c r="C113" s="81"/>
      <c r="D113" s="81"/>
      <c r="E113" s="81"/>
      <c r="F113" s="81"/>
      <c r="G113" s="81"/>
      <c r="H113" s="81"/>
      <c r="I113" s="81"/>
      <c r="J113" s="105"/>
      <c r="K113" s="222"/>
    </row>
    <row r="114" spans="2:11" x14ac:dyDescent="0.25">
      <c r="B114" s="225"/>
      <c r="C114" s="81"/>
      <c r="D114" s="81"/>
      <c r="E114" s="81"/>
      <c r="F114" s="81"/>
      <c r="G114" s="81"/>
      <c r="H114" s="81"/>
      <c r="I114" s="81"/>
      <c r="J114" s="105"/>
      <c r="K114" s="222"/>
    </row>
    <row r="115" spans="2:11" ht="17.25" x14ac:dyDescent="0.25">
      <c r="B115" s="225" t="s">
        <v>318</v>
      </c>
      <c r="C115" s="81"/>
      <c r="D115" s="81"/>
      <c r="E115" s="81"/>
      <c r="F115" s="81"/>
      <c r="G115" s="81"/>
      <c r="H115" s="81"/>
      <c r="I115" s="81"/>
      <c r="J115" s="105"/>
      <c r="K115" s="222"/>
    </row>
    <row r="116" spans="2:11" x14ac:dyDescent="0.25">
      <c r="B116" s="231" t="s">
        <v>266</v>
      </c>
      <c r="C116" s="81"/>
      <c r="D116" s="81"/>
      <c r="E116" s="81"/>
      <c r="F116" s="81"/>
      <c r="G116" s="81"/>
      <c r="H116" s="81"/>
      <c r="I116" s="81">
        <f>6.69+3*6.24+2*7.36</f>
        <v>40.130000000000003</v>
      </c>
      <c r="J116" s="105"/>
      <c r="K116" s="222"/>
    </row>
    <row r="117" spans="2:11" x14ac:dyDescent="0.25">
      <c r="B117" s="231" t="s">
        <v>267</v>
      </c>
      <c r="C117" s="81"/>
      <c r="D117" s="81"/>
      <c r="E117" s="81"/>
      <c r="F117" s="81"/>
      <c r="G117" s="81"/>
      <c r="H117" s="81"/>
      <c r="I117" s="81">
        <f>4.79+4.35+4.35+2.1</f>
        <v>15.59</v>
      </c>
      <c r="J117" s="105"/>
      <c r="K117" s="222"/>
    </row>
    <row r="118" spans="2:11" x14ac:dyDescent="0.25">
      <c r="B118" s="231" t="s">
        <v>277</v>
      </c>
      <c r="C118" s="81"/>
      <c r="D118" s="81"/>
      <c r="E118" s="81"/>
      <c r="F118" s="81"/>
      <c r="G118" s="81"/>
      <c r="H118" s="81"/>
      <c r="I118" s="81">
        <f>5*2.1</f>
        <v>10.5</v>
      </c>
      <c r="J118" s="105"/>
      <c r="K118" s="222"/>
    </row>
    <row r="119" spans="2:11" x14ac:dyDescent="0.25">
      <c r="B119" s="231" t="s">
        <v>286</v>
      </c>
      <c r="C119" s="81"/>
      <c r="D119" s="81"/>
      <c r="E119" s="81"/>
      <c r="F119" s="81"/>
      <c r="G119" s="81"/>
      <c r="H119" s="81"/>
      <c r="I119" s="81">
        <f>6.16+3*4.79</f>
        <v>20.53</v>
      </c>
      <c r="J119" s="105"/>
      <c r="K119" s="222"/>
    </row>
    <row r="120" spans="2:11" x14ac:dyDescent="0.25">
      <c r="B120" s="231" t="s">
        <v>298</v>
      </c>
      <c r="C120" s="81"/>
      <c r="D120" s="81"/>
      <c r="E120" s="81"/>
      <c r="F120" s="81"/>
      <c r="G120" s="81"/>
      <c r="H120" s="81"/>
      <c r="I120" s="81">
        <f>2*2</f>
        <v>4</v>
      </c>
      <c r="J120" s="105"/>
      <c r="K120" s="222"/>
    </row>
    <row r="121" spans="2:11" x14ac:dyDescent="0.25">
      <c r="B121" s="225" t="s">
        <v>319</v>
      </c>
      <c r="C121" s="81"/>
      <c r="D121" s="81"/>
      <c r="E121" s="81"/>
      <c r="F121" s="81"/>
      <c r="G121" s="81"/>
      <c r="H121" s="81"/>
      <c r="I121" s="103">
        <f>SUM(I116:I120)</f>
        <v>90.75</v>
      </c>
      <c r="J121" s="105"/>
      <c r="K121" s="222"/>
    </row>
    <row r="122" spans="2:11" x14ac:dyDescent="0.25">
      <c r="B122" s="231"/>
      <c r="C122" s="81"/>
      <c r="D122" s="81"/>
      <c r="E122" s="81"/>
      <c r="F122" s="81"/>
      <c r="G122" s="81"/>
      <c r="H122" s="81"/>
      <c r="I122" s="81"/>
      <c r="J122" s="105"/>
      <c r="K122" s="222"/>
    </row>
    <row r="123" spans="2:11" x14ac:dyDescent="0.25">
      <c r="B123" s="225" t="s">
        <v>320</v>
      </c>
      <c r="C123" s="81"/>
      <c r="D123" s="81"/>
      <c r="E123" s="81"/>
      <c r="F123" s="81"/>
      <c r="G123" s="81"/>
      <c r="H123" s="81"/>
      <c r="I123" s="81"/>
      <c r="J123" s="105"/>
      <c r="K123" s="222"/>
    </row>
    <row r="124" spans="2:11" x14ac:dyDescent="0.25">
      <c r="B124" s="231" t="s">
        <v>266</v>
      </c>
      <c r="C124" s="81"/>
      <c r="D124" s="81">
        <f>4.9+5*4.45</f>
        <v>27.15</v>
      </c>
      <c r="E124" s="81"/>
      <c r="F124" s="81"/>
      <c r="G124" s="81"/>
      <c r="H124" s="81"/>
      <c r="I124" s="81"/>
      <c r="J124" s="105"/>
      <c r="K124" s="222"/>
    </row>
    <row r="125" spans="2:11" x14ac:dyDescent="0.25">
      <c r="B125" s="231" t="s">
        <v>267</v>
      </c>
      <c r="C125" s="81"/>
      <c r="D125" s="81">
        <f>3*3.5+2</f>
        <v>12.5</v>
      </c>
      <c r="E125" s="81"/>
      <c r="F125" s="81"/>
      <c r="G125" s="81"/>
      <c r="H125" s="81"/>
      <c r="I125" s="81"/>
      <c r="J125" s="105"/>
      <c r="K125" s="222"/>
    </row>
    <row r="126" spans="2:11" x14ac:dyDescent="0.25">
      <c r="B126" s="231" t="s">
        <v>277</v>
      </c>
      <c r="C126" s="81"/>
      <c r="D126" s="81">
        <f>5*2</f>
        <v>10</v>
      </c>
      <c r="E126" s="81"/>
      <c r="F126" s="81"/>
      <c r="G126" s="81"/>
      <c r="H126" s="81"/>
      <c r="I126" s="81"/>
      <c r="J126" s="105"/>
      <c r="K126" s="222"/>
    </row>
    <row r="127" spans="2:11" x14ac:dyDescent="0.25">
      <c r="B127" s="231" t="s">
        <v>286</v>
      </c>
      <c r="C127" s="81"/>
      <c r="D127" s="81">
        <f>4*3.8</f>
        <v>15.2</v>
      </c>
      <c r="E127" s="81"/>
      <c r="F127" s="81"/>
      <c r="G127" s="81"/>
      <c r="H127" s="81"/>
      <c r="I127" s="81"/>
      <c r="J127" s="105"/>
      <c r="K127" s="222"/>
    </row>
    <row r="128" spans="2:11" x14ac:dyDescent="0.25">
      <c r="B128" s="231" t="s">
        <v>298</v>
      </c>
      <c r="C128" s="81"/>
      <c r="D128" s="81">
        <f>2*1.8</f>
        <v>3.6</v>
      </c>
      <c r="E128" s="81"/>
      <c r="F128" s="81"/>
      <c r="G128" s="81"/>
      <c r="H128" s="81"/>
      <c r="I128" s="81"/>
      <c r="J128" s="105"/>
      <c r="K128" s="222"/>
    </row>
    <row r="129" spans="2:11" x14ac:dyDescent="0.25">
      <c r="B129" s="225" t="s">
        <v>321</v>
      </c>
      <c r="C129" s="81"/>
      <c r="D129" s="103">
        <f>SUM(D124:D128)</f>
        <v>68.449999999999989</v>
      </c>
      <c r="E129" s="81"/>
      <c r="F129" s="81"/>
      <c r="G129" s="81"/>
      <c r="H129" s="81"/>
      <c r="I129" s="81"/>
      <c r="J129" s="105"/>
      <c r="K129" s="222"/>
    </row>
    <row r="130" spans="2:11" x14ac:dyDescent="0.25">
      <c r="B130" s="231"/>
      <c r="C130" s="81"/>
      <c r="D130" s="81"/>
      <c r="E130" s="81"/>
      <c r="F130" s="81"/>
      <c r="G130" s="81"/>
      <c r="H130" s="81"/>
      <c r="I130" s="81"/>
      <c r="J130" s="105"/>
      <c r="K130" s="222"/>
    </row>
    <row r="131" spans="2:11" x14ac:dyDescent="0.25">
      <c r="B131" s="225" t="s">
        <v>322</v>
      </c>
      <c r="C131" s="81"/>
      <c r="D131" s="81"/>
      <c r="E131" s="81"/>
      <c r="F131" s="81"/>
      <c r="G131" s="81"/>
      <c r="H131" s="81"/>
      <c r="I131" s="81"/>
      <c r="J131" s="105"/>
      <c r="K131" s="222"/>
    </row>
    <row r="132" spans="2:11" x14ac:dyDescent="0.25">
      <c r="B132" s="231" t="s">
        <v>266</v>
      </c>
      <c r="C132" s="81"/>
      <c r="D132" s="81">
        <v>31.14</v>
      </c>
      <c r="E132" s="81"/>
      <c r="F132" s="81"/>
      <c r="G132" s="81"/>
      <c r="H132" s="81"/>
      <c r="I132" s="81"/>
      <c r="J132" s="105"/>
      <c r="K132" s="222"/>
    </row>
    <row r="133" spans="2:11" x14ac:dyDescent="0.25">
      <c r="B133" s="231" t="s">
        <v>267</v>
      </c>
      <c r="C133" s="81"/>
      <c r="D133" s="81">
        <f>6.19+12+5.78</f>
        <v>23.970000000000002</v>
      </c>
      <c r="E133" s="81"/>
      <c r="F133" s="81"/>
      <c r="G133" s="81"/>
      <c r="H133" s="81"/>
      <c r="I133" s="81"/>
      <c r="J133" s="105"/>
      <c r="K133" s="222"/>
    </row>
    <row r="134" spans="2:11" x14ac:dyDescent="0.25">
      <c r="B134" s="231" t="s">
        <v>286</v>
      </c>
      <c r="C134" s="81"/>
      <c r="D134" s="81">
        <f>8.63+12.01</f>
        <v>20.64</v>
      </c>
      <c r="E134" s="81"/>
      <c r="F134" s="81"/>
      <c r="G134" s="81"/>
      <c r="H134" s="81"/>
      <c r="I134" s="81"/>
      <c r="J134" s="105"/>
      <c r="K134" s="222"/>
    </row>
    <row r="135" spans="2:11" x14ac:dyDescent="0.25">
      <c r="B135" s="231" t="s">
        <v>298</v>
      </c>
      <c r="C135" s="81"/>
      <c r="D135" s="81">
        <v>6.03</v>
      </c>
      <c r="E135" s="81"/>
      <c r="F135" s="81"/>
      <c r="G135" s="81"/>
      <c r="H135" s="81"/>
      <c r="I135" s="81"/>
      <c r="J135" s="105"/>
      <c r="K135" s="222"/>
    </row>
    <row r="136" spans="2:11" ht="30" x14ac:dyDescent="0.25">
      <c r="B136" s="233" t="s">
        <v>323</v>
      </c>
      <c r="C136" s="81"/>
      <c r="D136" s="103">
        <f>SUM(D132:D135)</f>
        <v>81.78</v>
      </c>
      <c r="E136" s="81"/>
      <c r="F136" s="81"/>
      <c r="G136" s="81"/>
      <c r="H136" s="81"/>
      <c r="I136" s="81"/>
      <c r="J136" s="105"/>
      <c r="K136" s="222"/>
    </row>
    <row r="137" spans="2:11" x14ac:dyDescent="0.25">
      <c r="B137" s="231"/>
      <c r="C137" s="81"/>
      <c r="D137" s="81"/>
      <c r="E137" s="81"/>
      <c r="F137" s="81"/>
      <c r="G137" s="81"/>
      <c r="H137" s="81"/>
      <c r="I137" s="81"/>
      <c r="J137" s="105"/>
      <c r="K137" s="222"/>
    </row>
    <row r="138" spans="2:11" x14ac:dyDescent="0.25">
      <c r="B138" s="225" t="s">
        <v>324</v>
      </c>
      <c r="C138" s="81"/>
      <c r="D138" s="81"/>
      <c r="E138" s="81"/>
      <c r="F138" s="81"/>
      <c r="G138" s="81"/>
      <c r="H138" s="81"/>
      <c r="I138" s="81"/>
      <c r="J138" s="105"/>
      <c r="K138" s="222"/>
    </row>
    <row r="139" spans="2:11" x14ac:dyDescent="0.25">
      <c r="B139" s="231" t="s">
        <v>282</v>
      </c>
      <c r="C139" s="81"/>
      <c r="D139" s="81">
        <v>2</v>
      </c>
      <c r="E139" s="81"/>
      <c r="F139" s="81"/>
      <c r="G139" s="81"/>
      <c r="H139" s="81"/>
      <c r="I139" s="81"/>
      <c r="J139" s="105"/>
      <c r="K139" s="222"/>
    </row>
    <row r="140" spans="2:11" x14ac:dyDescent="0.25">
      <c r="B140" s="231" t="s">
        <v>306</v>
      </c>
      <c r="C140" s="81"/>
      <c r="D140" s="81">
        <v>1.8</v>
      </c>
      <c r="E140" s="81"/>
      <c r="F140" s="81"/>
      <c r="G140" s="81"/>
      <c r="H140" s="81"/>
      <c r="I140" s="81"/>
      <c r="J140" s="105"/>
      <c r="K140" s="222"/>
    </row>
    <row r="141" spans="2:11" ht="30" x14ac:dyDescent="0.25">
      <c r="B141" s="233" t="s">
        <v>325</v>
      </c>
      <c r="C141" s="81"/>
      <c r="D141" s="103">
        <f>SUM(D139:D140)</f>
        <v>3.8</v>
      </c>
      <c r="E141" s="81"/>
      <c r="F141" s="81"/>
      <c r="G141" s="81"/>
      <c r="H141" s="81"/>
      <c r="I141" s="81"/>
      <c r="J141" s="105"/>
      <c r="K141" s="222"/>
    </row>
    <row r="142" spans="2:11" ht="15.75" thickBot="1" x14ac:dyDescent="0.3">
      <c r="B142" s="235"/>
      <c r="C142" s="236"/>
      <c r="D142" s="236"/>
      <c r="E142" s="236"/>
      <c r="F142" s="236"/>
      <c r="G142" s="236"/>
      <c r="H142" s="236"/>
      <c r="I142" s="236"/>
      <c r="J142" s="237"/>
      <c r="K142" s="238"/>
    </row>
    <row r="143" spans="2:11" x14ac:dyDescent="0.25">
      <c r="B143" s="211"/>
      <c r="C143" s="151"/>
      <c r="D143" s="151"/>
      <c r="E143" s="151"/>
      <c r="F143" s="151"/>
      <c r="G143" s="151"/>
      <c r="H143" s="151"/>
      <c r="I143" s="151"/>
      <c r="J143" s="212"/>
      <c r="K143" s="151"/>
    </row>
    <row r="144" spans="2:11" x14ac:dyDescent="0.25">
      <c r="B144" s="211"/>
      <c r="C144" s="151"/>
      <c r="D144" s="151"/>
      <c r="E144" s="151"/>
      <c r="F144" s="151"/>
      <c r="G144" s="151"/>
      <c r="H144" s="151"/>
      <c r="I144" s="151"/>
      <c r="J144" s="212"/>
      <c r="K144" s="151"/>
    </row>
    <row r="145" spans="2:11" x14ac:dyDescent="0.25">
      <c r="B145" s="211"/>
      <c r="C145" s="151"/>
      <c r="D145" s="151"/>
      <c r="E145" s="151"/>
      <c r="F145" s="151"/>
      <c r="G145" s="151"/>
      <c r="H145" s="151"/>
      <c r="I145" s="151"/>
      <c r="J145" s="212"/>
      <c r="K145" s="151"/>
    </row>
    <row r="146" spans="2:11" x14ac:dyDescent="0.25">
      <c r="B146" s="211"/>
      <c r="C146" s="151"/>
      <c r="D146" s="151"/>
      <c r="E146" s="151"/>
      <c r="F146" s="151"/>
      <c r="G146" s="151"/>
      <c r="H146" s="151"/>
      <c r="I146" s="151"/>
      <c r="J146" s="212"/>
      <c r="K146" s="151"/>
    </row>
    <row r="147" spans="2:11" x14ac:dyDescent="0.25">
      <c r="B147" s="211"/>
      <c r="C147" s="151"/>
      <c r="D147" s="151"/>
      <c r="E147" s="151"/>
      <c r="F147" s="151"/>
      <c r="G147" s="151"/>
      <c r="H147" s="151"/>
      <c r="I147" s="151"/>
      <c r="J147" s="212"/>
      <c r="K147" s="151"/>
    </row>
    <row r="148" spans="2:11" x14ac:dyDescent="0.25">
      <c r="B148" s="211"/>
      <c r="C148" s="151"/>
      <c r="D148" s="151"/>
      <c r="E148" s="151"/>
      <c r="F148" s="151"/>
      <c r="G148" s="151"/>
      <c r="H148" s="151"/>
      <c r="I148" s="151"/>
      <c r="J148" s="212"/>
      <c r="K148" s="151"/>
    </row>
    <row r="149" spans="2:11" x14ac:dyDescent="0.25">
      <c r="B149" s="211"/>
      <c r="C149" s="151"/>
      <c r="D149" s="151"/>
      <c r="E149" s="151"/>
      <c r="F149" s="151"/>
      <c r="G149" s="151"/>
      <c r="H149" s="151"/>
      <c r="I149" s="151"/>
      <c r="J149" s="212"/>
      <c r="K149" s="151"/>
    </row>
    <row r="150" spans="2:11" x14ac:dyDescent="0.25">
      <c r="B150" s="211"/>
      <c r="C150" s="151"/>
      <c r="D150" s="151"/>
      <c r="E150" s="151"/>
      <c r="F150" s="151"/>
      <c r="G150" s="151"/>
      <c r="H150" s="151"/>
      <c r="I150" s="151"/>
      <c r="J150" s="212"/>
      <c r="K150" s="151"/>
    </row>
    <row r="151" spans="2:11" x14ac:dyDescent="0.25">
      <c r="B151" s="213"/>
      <c r="C151" s="151"/>
      <c r="D151" s="151"/>
      <c r="E151" s="151"/>
      <c r="F151" s="151"/>
      <c r="G151" s="151"/>
      <c r="H151" s="151"/>
      <c r="I151" s="151"/>
      <c r="J151" s="212"/>
      <c r="K151" s="151"/>
    </row>
    <row r="152" spans="2:11" x14ac:dyDescent="0.25">
      <c r="B152" s="214"/>
      <c r="C152" s="151"/>
      <c r="D152" s="151"/>
      <c r="E152" s="151"/>
      <c r="F152" s="151"/>
      <c r="G152" s="151"/>
      <c r="H152" s="151"/>
      <c r="I152" s="151"/>
      <c r="J152" s="212"/>
      <c r="K152" s="151"/>
    </row>
    <row r="153" spans="2:11" x14ac:dyDescent="0.25">
      <c r="B153" s="151"/>
      <c r="C153" s="151"/>
      <c r="D153" s="151"/>
      <c r="E153" s="151"/>
      <c r="F153" s="151"/>
      <c r="G153" s="151"/>
      <c r="H153" s="151"/>
      <c r="I153" s="151"/>
      <c r="J153" s="151"/>
      <c r="K153" s="151"/>
    </row>
    <row r="154" spans="2:11" x14ac:dyDescent="0.25">
      <c r="B154" s="151"/>
      <c r="C154" s="151"/>
      <c r="D154" s="151"/>
      <c r="E154" s="151"/>
      <c r="F154" s="151"/>
      <c r="G154" s="151"/>
      <c r="H154" s="151"/>
      <c r="I154" s="151"/>
      <c r="J154" s="151"/>
      <c r="K154" s="151"/>
    </row>
    <row r="155" spans="2:11" x14ac:dyDescent="0.25">
      <c r="B155" s="151"/>
      <c r="C155" s="151"/>
      <c r="D155" s="151"/>
      <c r="E155" s="151"/>
      <c r="F155" s="151"/>
      <c r="G155" s="151"/>
      <c r="H155" s="151"/>
      <c r="I155" s="151"/>
      <c r="J155" s="151"/>
      <c r="K155" s="151"/>
    </row>
  </sheetData>
  <phoneticPr fontId="28" type="noConversion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>&amp;RVýkaz výměr SO 03</oddHeader>
    <oddFooter>&amp;L&amp;9&amp;F&amp;C&amp;A&amp;R&amp;P/&amp;N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9</vt:i4>
      </vt:variant>
    </vt:vector>
  </HeadingPairs>
  <TitlesOfParts>
    <vt:vector size="16" baseType="lpstr">
      <vt:lpstr>SO_03_2_Odpad_Rekapitulace</vt:lpstr>
      <vt:lpstr>SO_03_KL_4</vt:lpstr>
      <vt:lpstr>SO_03_KL_5</vt:lpstr>
      <vt:lpstr>SO_03_KL_5b</vt:lpstr>
      <vt:lpstr>SO_03_KL_6</vt:lpstr>
      <vt:lpstr>SO_03_KL_7</vt:lpstr>
      <vt:lpstr>SO_03_KL_8</vt:lpstr>
      <vt:lpstr>SO_03_2_Odpad_Rekapitulace!Názvy_tisku</vt:lpstr>
      <vt:lpstr>SO_03_KL_5b!Názvy_tisku</vt:lpstr>
      <vt:lpstr>SO_03_2_Odpad_Rekapitulace!Oblast_tisku</vt:lpstr>
      <vt:lpstr>SO_03_KL_4!Oblast_tisku</vt:lpstr>
      <vt:lpstr>SO_03_KL_5!Oblast_tisku</vt:lpstr>
      <vt:lpstr>SO_03_KL_5b!Oblast_tisku</vt:lpstr>
      <vt:lpstr>SO_03_KL_6!Oblast_tisku</vt:lpstr>
      <vt:lpstr>SO_03_KL_7!Oblast_tisku</vt:lpstr>
      <vt:lpstr>SO_03_KL_8!Oblast_tisku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Foltynova, Lucie</dc:creator>
  <cp:lastModifiedBy>Proschl</cp:lastModifiedBy>
  <cp:lastPrinted>2022-08-25T05:40:55Z</cp:lastPrinted>
  <dcterms:created xsi:type="dcterms:W3CDTF">2016-09-06T06:14:26Z</dcterms:created>
  <dcterms:modified xsi:type="dcterms:W3CDTF">2024-02-13T07:07:13Z</dcterms:modified>
</cp:coreProperties>
</file>